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06"/>
  <workbookPr defaultThemeVersion="166925"/>
  <mc:AlternateContent xmlns:mc="http://schemas.openxmlformats.org/markup-compatibility/2006">
    <mc:Choice Requires="x15">
      <x15ac:absPath xmlns:x15ac="http://schemas.microsoft.com/office/spreadsheetml/2010/11/ac" url="https://mindovermatterconsulting.sharepoint.com/sites/MindoverMatter/Gedeelde documenten/General/Axxon/Finaal gedeelde documenten/"/>
    </mc:Choice>
  </mc:AlternateContent>
  <xr:revisionPtr revIDLastSave="0" documentId="8_{5243A692-6F99-4C41-8AC3-065C51DD02D6}" xr6:coauthVersionLast="47" xr6:coauthVersionMax="47" xr10:uidLastSave="{00000000-0000-0000-0000-000000000000}"/>
  <bookViews>
    <workbookView xWindow="590" yWindow="170" windowWidth="14400" windowHeight="7370" tabRatio="838" xr2:uid="{0A84FAE0-F6A5-4779-8E71-815E274F7AA4}"/>
  </bookViews>
  <sheets>
    <sheet name="Context" sheetId="19" r:id="rId1"/>
    <sheet name="Overzicht " sheetId="6" r:id="rId2"/>
    <sheet name="Detail tabs&gt;&gt;&gt;" sheetId="21" r:id="rId3"/>
    <sheet name="Beschikbare uren" sheetId="14" r:id="rId4"/>
    <sheet name="Loon" sheetId="8" r:id="rId5"/>
    <sheet name="Exploitatie" sheetId="16" r:id="rId6"/>
    <sheet name="Benodigde ruimte" sheetId="12" r:id="rId7"/>
    <sheet name="Inrichting" sheetId="9" r:id="rId8"/>
    <sheet name="Klein instrumentarium" sheetId="13" r:id="rId9"/>
    <sheet name="Rentefactor" sheetId="17" r:id="rId10"/>
    <sheet name="Sens.analyse&gt;&gt;&gt;" sheetId="24" r:id="rId11"/>
    <sheet name="Alternatieve schattingen" sheetId="23" r:id="rId12"/>
    <sheet name="Kostendekking" sheetId="22" r:id="rId1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1" i="23" l="1"/>
  <c r="G23" i="23" s="1"/>
  <c r="G19" i="23"/>
  <c r="G18" i="23"/>
  <c r="G17" i="23"/>
  <c r="G16" i="23"/>
  <c r="G15" i="23"/>
  <c r="G14" i="23"/>
  <c r="E14" i="23"/>
  <c r="D14" i="23"/>
  <c r="I12" i="6"/>
  <c r="E18" i="23" l="1"/>
  <c r="F25" i="6" l="1"/>
  <c r="E25" i="6" s="1"/>
  <c r="E51" i="8" l="1"/>
  <c r="E50" i="8"/>
  <c r="E49" i="8"/>
  <c r="E48" i="8"/>
  <c r="E47" i="8"/>
  <c r="E46" i="8"/>
  <c r="D85" i="9"/>
  <c r="D13" i="8"/>
  <c r="D10" i="12" l="1"/>
  <c r="E100" i="16"/>
  <c r="C10" i="22"/>
  <c r="C11" i="22" s="1"/>
  <c r="C15" i="22"/>
  <c r="F51" i="22"/>
  <c r="G32" i="6"/>
  <c r="F32" i="6"/>
  <c r="E32" i="6"/>
  <c r="G31" i="6"/>
  <c r="F31" i="6"/>
  <c r="E31" i="6"/>
  <c r="E24" i="16"/>
  <c r="F132" i="16"/>
  <c r="F133" i="16"/>
  <c r="F134" i="16"/>
  <c r="C12" i="22" l="1"/>
  <c r="C16" i="22"/>
  <c r="F136" i="16"/>
  <c r="E28" i="17"/>
  <c r="E96" i="16"/>
  <c r="E21" i="16" s="1"/>
  <c r="E80" i="9"/>
  <c r="E78" i="9"/>
  <c r="E55" i="12"/>
  <c r="E54" i="12"/>
  <c r="E53" i="12"/>
  <c r="E52" i="12"/>
  <c r="E51" i="12"/>
  <c r="E50" i="12"/>
  <c r="E49" i="12"/>
  <c r="E48" i="12"/>
  <c r="E47" i="12"/>
  <c r="E46" i="12"/>
  <c r="E45" i="12"/>
  <c r="E44" i="12"/>
  <c r="E43" i="12"/>
  <c r="E42" i="12"/>
  <c r="E41" i="12"/>
  <c r="E40" i="12"/>
  <c r="E39" i="12"/>
  <c r="E38" i="12"/>
  <c r="E37" i="12"/>
  <c r="E36" i="12"/>
  <c r="D12" i="12"/>
  <c r="E54" i="8"/>
  <c r="D14" i="8" s="1"/>
  <c r="D12" i="8"/>
  <c r="E57" i="8"/>
  <c r="E56" i="8"/>
  <c r="E55" i="8"/>
  <c r="E53" i="8"/>
  <c r="F53" i="8" s="1"/>
  <c r="E52" i="8"/>
  <c r="F50" i="8"/>
  <c r="F47" i="8"/>
  <c r="F48" i="8"/>
  <c r="F46" i="8"/>
  <c r="F92" i="9"/>
  <c r="F93" i="9"/>
  <c r="F94" i="9"/>
  <c r="F95" i="9"/>
  <c r="D13" i="6" l="1"/>
  <c r="I16" i="23"/>
  <c r="D16" i="23"/>
  <c r="E16" i="23" s="1"/>
  <c r="C13" i="22"/>
  <c r="C17" i="22"/>
  <c r="E83" i="9"/>
  <c r="E79" i="9"/>
  <c r="E82" i="9"/>
  <c r="F33" i="16"/>
  <c r="E81" i="9"/>
  <c r="E85" i="9" s="1"/>
  <c r="F34" i="16"/>
  <c r="E57" i="12"/>
  <c r="F55" i="8"/>
  <c r="F52" i="8"/>
  <c r="F57" i="8"/>
  <c r="F49" i="8"/>
  <c r="F51" i="8"/>
  <c r="F54" i="8"/>
  <c r="F56" i="8"/>
  <c r="J16" i="23" l="1"/>
  <c r="D14" i="17"/>
  <c r="F16" i="23"/>
  <c r="C18" i="22"/>
  <c r="F24" i="13"/>
  <c r="F23" i="13"/>
  <c r="F22" i="13"/>
  <c r="F21" i="13"/>
  <c r="F20" i="13"/>
  <c r="F19" i="13"/>
  <c r="F18" i="13"/>
  <c r="F17" i="13"/>
  <c r="F16" i="13"/>
  <c r="F15" i="13"/>
  <c r="F14" i="13"/>
  <c r="F13" i="13"/>
  <c r="F12" i="13"/>
  <c r="F26" i="13" s="1"/>
  <c r="D15" i="6" s="1"/>
  <c r="F96" i="9"/>
  <c r="F97" i="9"/>
  <c r="F100" i="9"/>
  <c r="F99" i="9"/>
  <c r="E98" i="9"/>
  <c r="D98" i="9"/>
  <c r="D102" i="9" s="1"/>
  <c r="D68" i="9"/>
  <c r="D13" i="17" s="1"/>
  <c r="F66" i="9"/>
  <c r="F65" i="9"/>
  <c r="F64" i="9"/>
  <c r="F63" i="9"/>
  <c r="F62" i="9"/>
  <c r="F61" i="9"/>
  <c r="F60" i="9"/>
  <c r="F59" i="9"/>
  <c r="F58" i="9"/>
  <c r="F57" i="9"/>
  <c r="F56" i="9"/>
  <c r="F55" i="9"/>
  <c r="F54" i="9"/>
  <c r="F53" i="9"/>
  <c r="F52" i="9"/>
  <c r="F51" i="9"/>
  <c r="F50" i="9"/>
  <c r="F49" i="9"/>
  <c r="F48" i="9"/>
  <c r="F47" i="9"/>
  <c r="F46" i="9"/>
  <c r="F45" i="9"/>
  <c r="F44" i="9"/>
  <c r="F43" i="9"/>
  <c r="F42" i="9"/>
  <c r="F41" i="9"/>
  <c r="F40" i="9"/>
  <c r="F39" i="9"/>
  <c r="F38" i="9"/>
  <c r="F37" i="9"/>
  <c r="F36" i="9"/>
  <c r="F35" i="9"/>
  <c r="F34" i="9"/>
  <c r="F33" i="9"/>
  <c r="F32" i="9"/>
  <c r="F31" i="9"/>
  <c r="F30" i="9"/>
  <c r="F29" i="9"/>
  <c r="F28" i="9"/>
  <c r="F27" i="9"/>
  <c r="F26" i="9"/>
  <c r="E15" i="9"/>
  <c r="F18" i="23" l="1"/>
  <c r="J18" i="23"/>
  <c r="C19" i="22"/>
  <c r="F98" i="9"/>
  <c r="F102" i="9" s="1"/>
  <c r="F68" i="9"/>
  <c r="D11" i="9" s="1"/>
  <c r="C20" i="22" l="1"/>
  <c r="D13" i="9"/>
  <c r="E102" i="9"/>
  <c r="E68" i="9"/>
  <c r="E22" i="16"/>
  <c r="D15" i="23" s="1"/>
  <c r="E99" i="16"/>
  <c r="D18" i="8"/>
  <c r="E18" i="16"/>
  <c r="E101" i="16"/>
  <c r="E15" i="23" l="1"/>
  <c r="C21" i="22"/>
  <c r="E105" i="16"/>
  <c r="I15" i="23" s="1"/>
  <c r="E45" i="16"/>
  <c r="E80" i="16"/>
  <c r="E69" i="16"/>
  <c r="E17" i="16" s="1"/>
  <c r="E57" i="16"/>
  <c r="E16" i="16" s="1"/>
  <c r="E75" i="16"/>
  <c r="C22" i="22" l="1"/>
  <c r="E47" i="16"/>
  <c r="E14" i="16" s="1"/>
  <c r="D16" i="8"/>
  <c r="E83" i="16"/>
  <c r="E19" i="16" s="1"/>
  <c r="F37" i="16"/>
  <c r="E11" i="16" s="1"/>
  <c r="E23" i="16"/>
  <c r="E20" i="16"/>
  <c r="E12" i="16"/>
  <c r="D13" i="14"/>
  <c r="D16" i="14" s="1"/>
  <c r="E12" i="14"/>
  <c r="G18" i="6"/>
  <c r="F18" i="6"/>
  <c r="F27" i="6" s="1"/>
  <c r="F28" i="6" s="1"/>
  <c r="E18" i="6"/>
  <c r="D30" i="8" l="1"/>
  <c r="C23" i="22"/>
  <c r="G83" i="9"/>
  <c r="G81" i="9"/>
  <c r="D17" i="14"/>
  <c r="D18" i="14" s="1"/>
  <c r="D20" i="14" s="1"/>
  <c r="D29" i="8"/>
  <c r="E29" i="8" s="1"/>
  <c r="D24" i="8"/>
  <c r="E13" i="14"/>
  <c r="E16" i="14" s="1"/>
  <c r="C24" i="22" l="1"/>
  <c r="D25" i="6"/>
  <c r="D42" i="8"/>
  <c r="D15" i="17"/>
  <c r="G78" i="9"/>
  <c r="G85" i="9" s="1"/>
  <c r="E30" i="8"/>
  <c r="E17" i="14"/>
  <c r="E18" i="14" s="1"/>
  <c r="E20" i="14" s="1"/>
  <c r="E26" i="16"/>
  <c r="D12" i="6" s="1"/>
  <c r="D11" i="6"/>
  <c r="D22" i="14"/>
  <c r="D27" i="6" s="1"/>
  <c r="F14" i="23" l="1"/>
  <c r="I11" i="6"/>
  <c r="D12" i="9"/>
  <c r="D15" i="9" s="1"/>
  <c r="I17" i="23" s="1"/>
  <c r="F85" i="9"/>
  <c r="J14" i="23"/>
  <c r="D32" i="6"/>
  <c r="D14" i="6"/>
  <c r="F15" i="23"/>
  <c r="J15" i="23"/>
  <c r="D17" i="23"/>
  <c r="C25" i="22"/>
  <c r="D17" i="17"/>
  <c r="D29" i="17"/>
  <c r="E29" i="17" s="1"/>
  <c r="G48" i="8"/>
  <c r="G51" i="8"/>
  <c r="G57" i="8"/>
  <c r="H53" i="8"/>
  <c r="G56" i="8"/>
  <c r="G46" i="8"/>
  <c r="H47" i="8"/>
  <c r="G55" i="8"/>
  <c r="H48" i="8"/>
  <c r="G50" i="8"/>
  <c r="G54" i="8"/>
  <c r="G53" i="8"/>
  <c r="H50" i="8"/>
  <c r="G47" i="8"/>
  <c r="G52" i="8"/>
  <c r="H46" i="8"/>
  <c r="G49" i="8"/>
  <c r="H56" i="8"/>
  <c r="H51" i="8"/>
  <c r="H54" i="8"/>
  <c r="H49" i="8"/>
  <c r="H52" i="8"/>
  <c r="H55" i="8"/>
  <c r="H57" i="8"/>
  <c r="D28" i="6"/>
  <c r="E17" i="23" l="1"/>
  <c r="D16" i="6"/>
  <c r="D19" i="23"/>
  <c r="E19" i="23" s="1"/>
  <c r="I19" i="23"/>
  <c r="I21" i="23" s="1"/>
  <c r="F17" i="23"/>
  <c r="J17" i="23"/>
  <c r="C26" i="22"/>
  <c r="D21" i="23" l="1"/>
  <c r="D23" i="23" s="1"/>
  <c r="E21" i="23"/>
  <c r="E23" i="23" s="1"/>
  <c r="F19" i="23"/>
  <c r="F21" i="23" s="1"/>
  <c r="J19" i="23"/>
  <c r="D31" i="6"/>
  <c r="D18" i="6"/>
  <c r="I18" i="6" s="1"/>
  <c r="C27" i="22"/>
  <c r="F23" i="23" l="1"/>
  <c r="D26" i="22"/>
  <c r="E26" i="22" s="1"/>
  <c r="D10" i="22"/>
  <c r="D13" i="22"/>
  <c r="D20" i="22"/>
  <c r="D23" i="22"/>
  <c r="D21" i="22"/>
  <c r="D25" i="22"/>
  <c r="D12" i="22"/>
  <c r="D22" i="22"/>
  <c r="D15" i="22"/>
  <c r="J21" i="23"/>
  <c r="J23" i="23" s="1"/>
  <c r="D21" i="6"/>
  <c r="D9" i="22"/>
  <c r="D11" i="22"/>
  <c r="D17" i="22"/>
  <c r="D24" i="22"/>
  <c r="D14" i="22"/>
  <c r="D18" i="22"/>
  <c r="D16" i="22"/>
  <c r="D19" i="22"/>
  <c r="C28" i="22"/>
  <c r="D27" i="22"/>
  <c r="E25" i="23" l="1"/>
  <c r="I21" i="6"/>
  <c r="D25" i="23"/>
  <c r="F26" i="22"/>
  <c r="G26" i="22" s="1"/>
  <c r="E19" i="22"/>
  <c r="F19" i="22"/>
  <c r="G19" i="22" s="1"/>
  <c r="E24" i="22"/>
  <c r="F24" i="22"/>
  <c r="G24" i="22" s="1"/>
  <c r="F12" i="22"/>
  <c r="G12" i="22" s="1"/>
  <c r="E12" i="22"/>
  <c r="E20" i="22"/>
  <c r="F20" i="22"/>
  <c r="G20" i="22" s="1"/>
  <c r="E16" i="22"/>
  <c r="F16" i="22"/>
  <c r="G16" i="22" s="1"/>
  <c r="E17" i="22"/>
  <c r="F17" i="22"/>
  <c r="G17" i="22" s="1"/>
  <c r="I23" i="23"/>
  <c r="F25" i="22"/>
  <c r="G25" i="22" s="1"/>
  <c r="E25" i="22"/>
  <c r="E13" i="22"/>
  <c r="F13" i="22"/>
  <c r="G13" i="22" s="1"/>
  <c r="F18" i="22"/>
  <c r="G18" i="22" s="1"/>
  <c r="E18" i="22"/>
  <c r="E11" i="22"/>
  <c r="F11" i="22"/>
  <c r="G11" i="22" s="1"/>
  <c r="F15" i="22"/>
  <c r="G15" i="22" s="1"/>
  <c r="E15" i="22"/>
  <c r="F21" i="22"/>
  <c r="G21" i="22" s="1"/>
  <c r="E21" i="22"/>
  <c r="E10" i="22"/>
  <c r="F10" i="22"/>
  <c r="G10" i="22" s="1"/>
  <c r="E14" i="22"/>
  <c r="F14" i="22"/>
  <c r="G14" i="22" s="1"/>
  <c r="E9" i="22"/>
  <c r="F9" i="22"/>
  <c r="G9" i="22" s="1"/>
  <c r="F22" i="22"/>
  <c r="G22" i="22" s="1"/>
  <c r="E22" i="22"/>
  <c r="F23" i="22"/>
  <c r="G23" i="22" s="1"/>
  <c r="E23" i="22"/>
  <c r="E27" i="22"/>
  <c r="F27" i="22"/>
  <c r="G27" i="22" s="1"/>
  <c r="C29" i="22"/>
  <c r="D28" i="22"/>
  <c r="C30" i="22" l="1"/>
  <c r="D29" i="22"/>
  <c r="E28" i="22"/>
  <c r="F28" i="22"/>
  <c r="G28" i="22" s="1"/>
  <c r="E29" i="22" l="1"/>
  <c r="F29" i="22"/>
  <c r="G29" i="22" s="1"/>
  <c r="D30" i="22"/>
  <c r="C31" i="22"/>
  <c r="C32" i="22" l="1"/>
  <c r="D31" i="22"/>
  <c r="E30" i="22"/>
  <c r="F30" i="22"/>
  <c r="G30" i="22" s="1"/>
  <c r="E31" i="22" l="1"/>
  <c r="F31" i="22"/>
  <c r="G31" i="22" s="1"/>
  <c r="C33" i="22"/>
  <c r="D32" i="22"/>
  <c r="E32" i="22" l="1"/>
  <c r="F32" i="22"/>
  <c r="G32" i="22" s="1"/>
  <c r="C34" i="22"/>
  <c r="D33" i="22"/>
  <c r="E33" i="22" l="1"/>
  <c r="F33" i="22"/>
  <c r="G33" i="22" s="1"/>
  <c r="C35" i="22"/>
  <c r="D34" i="22"/>
  <c r="E34" i="22" l="1"/>
  <c r="F34" i="22"/>
  <c r="G34" i="22" s="1"/>
  <c r="C36" i="22"/>
  <c r="D35" i="22"/>
  <c r="E35" i="22" l="1"/>
  <c r="F35" i="22"/>
  <c r="G35" i="22" s="1"/>
  <c r="C37" i="22"/>
  <c r="D36" i="22"/>
  <c r="E36" i="22" l="1"/>
  <c r="F36" i="22"/>
  <c r="G36" i="22" s="1"/>
  <c r="C38" i="22"/>
  <c r="D37" i="22"/>
  <c r="E37" i="22" l="1"/>
  <c r="F37" i="22"/>
  <c r="G37" i="22" s="1"/>
  <c r="C39" i="22"/>
  <c r="D38" i="22"/>
  <c r="E38" i="22" l="1"/>
  <c r="F38" i="22"/>
  <c r="G38" i="22" s="1"/>
  <c r="C40" i="22"/>
  <c r="D39" i="22"/>
  <c r="C41" i="22" l="1"/>
  <c r="D40" i="22"/>
  <c r="E39" i="22"/>
  <c r="F39" i="22"/>
  <c r="G39" i="22" s="1"/>
  <c r="E40" i="22" l="1"/>
  <c r="F40" i="22"/>
  <c r="G40" i="22" s="1"/>
  <c r="C42" i="22"/>
  <c r="D41" i="22"/>
  <c r="E41" i="22" l="1"/>
  <c r="F41" i="22"/>
  <c r="G41" i="22" s="1"/>
  <c r="C43" i="22"/>
  <c r="D42" i="22"/>
  <c r="E42" i="22" l="1"/>
  <c r="F42" i="22"/>
  <c r="G42" i="22" s="1"/>
  <c r="C44" i="22"/>
  <c r="D43" i="22"/>
  <c r="E43" i="22" l="1"/>
  <c r="F43" i="22"/>
  <c r="G43" i="22" s="1"/>
  <c r="C45" i="22"/>
  <c r="D44" i="22"/>
  <c r="C46" i="22" l="1"/>
  <c r="D45" i="22"/>
  <c r="E44" i="22"/>
  <c r="F44" i="22"/>
  <c r="G44" i="22" s="1"/>
  <c r="E45" i="22" l="1"/>
  <c r="F45" i="22"/>
  <c r="G45" i="22" s="1"/>
  <c r="C47" i="22"/>
  <c r="D46" i="22"/>
  <c r="E46" i="22" l="1"/>
  <c r="F46" i="22"/>
  <c r="G46" i="22" s="1"/>
  <c r="D47" i="22"/>
  <c r="C48" i="22"/>
  <c r="E47" i="22" l="1"/>
  <c r="F47" i="22"/>
  <c r="G47" i="22" s="1"/>
  <c r="C49" i="22"/>
  <c r="D49" i="22" s="1"/>
  <c r="D48" i="22"/>
  <c r="E48" i="22" l="1"/>
  <c r="F48" i="22"/>
  <c r="G48" i="22" s="1"/>
  <c r="F49" i="22"/>
  <c r="G49" i="22" s="1"/>
  <c r="E49" i="22"/>
  <c r="E27" i="6"/>
  <c r="E28" i="6" s="1"/>
  <c r="G27" i="6"/>
</calcChain>
</file>

<file path=xl/sharedStrings.xml><?xml version="1.0" encoding="utf-8"?>
<sst xmlns="http://schemas.openxmlformats.org/spreadsheetml/2006/main" count="562" uniqueCount="434">
  <si>
    <t>Een kostendekkend honorarium voor kinesitherapie</t>
  </si>
  <si>
    <t>Context</t>
  </si>
  <si>
    <t>Pour des honoraires de kinésithérapie équitables</t>
  </si>
  <si>
    <t>Omschrijving</t>
  </si>
  <si>
    <t>Context:</t>
  </si>
  <si>
    <t>Een berekening van het “kostendekkend honorarium kinesitherapeut” is van</t>
  </si>
  <si>
    <t>uitermate groot belang in het vaststellen van de honoraria.</t>
  </si>
  <si>
    <t xml:space="preserve">Deze berekening is in het verleden al een eerste keer uitgevoerd (1990), </t>
  </si>
  <si>
    <t>en 2 keer geactualiseerd (2008, 2014)</t>
  </si>
  <si>
    <t>Doel:</t>
  </si>
  <si>
    <t>Grondige nieuwe berekening van het kostendekkend honorarium in 2021,</t>
  </si>
  <si>
    <t>ter voorbereiding van de gesprekken met het RIZIV</t>
  </si>
  <si>
    <t>Tab structuur</t>
  </si>
  <si>
    <t>Context, doel project en tab structuur</t>
  </si>
  <si>
    <t>Overzicht:</t>
  </si>
  <si>
    <t>Overzicht resultaten 2021 en vergelijking met eerdere berekeningen</t>
  </si>
  <si>
    <t>Beschikbaar uren</t>
  </si>
  <si>
    <t>Detail tab ivm berekeningen van beschikbaar uren</t>
  </si>
  <si>
    <t>Loon</t>
  </si>
  <si>
    <t>Detail tab ivm berekeningen loonkosten en vergelijking met andere beroepen</t>
  </si>
  <si>
    <t>Exploitatie</t>
  </si>
  <si>
    <t>Detail tab ivm berekeningen exploitatiekosten</t>
  </si>
  <si>
    <t>Benodigde ruimte</t>
  </si>
  <si>
    <t>Detail tab ivm berekeningen ruimte &amp; bijhorende huurkost</t>
  </si>
  <si>
    <t>Inrichtingskost</t>
  </si>
  <si>
    <t>Detail tab ivm berekeningen kosten kabinet (inrichting gebouw, materiaal, …)</t>
  </si>
  <si>
    <t>Klein instrumentarium</t>
  </si>
  <si>
    <t>Detail tab ivm berekeningen kleinere benodigdheden</t>
  </si>
  <si>
    <t>Rentefactor</t>
  </si>
  <si>
    <t>Detail tab ivm berekeningen financieringskost van kapitaal</t>
  </si>
  <si>
    <t>Alternatieve schattingen</t>
  </si>
  <si>
    <t>Detail tab met de minder conservatieve schatting en de schatting voor kinesist aan huis</t>
  </si>
  <si>
    <t>Kostendekking</t>
  </si>
  <si>
    <t>Detail tab met berekening nodige werkuren om kosten te dekken, ifv honorarium</t>
  </si>
  <si>
    <t>Traduction en français:</t>
  </si>
  <si>
    <t>Déscription</t>
  </si>
  <si>
    <t>Contexte:</t>
  </si>
  <si>
    <t xml:space="preserve">Le calcul des coûts nécessaires qui doivent être engagés afin d’exercer d’une façon correcte </t>
  </si>
  <si>
    <t xml:space="preserve">la profession de kinésithérapeute, doit être déterminé avec précision, </t>
  </si>
  <si>
    <t>afin de faciliter le calcul des honoraires de ce groupe professionnel.</t>
  </si>
  <si>
    <t xml:space="preserve">Ce calcul a été fait pour la première fois par Ernst &amp; Young auditeurs en 1990. </t>
  </si>
  <si>
    <t>Après il a été actualisé en 2008 par SBB aviseurs et en 2014 par AXXON.</t>
  </si>
  <si>
    <t>But:</t>
  </si>
  <si>
    <t>Une revision fondamentalle du calcul des honoraires équitables en 2021,</t>
  </si>
  <si>
    <t>en vue des entretiens avec l'INAMI.</t>
  </si>
  <si>
    <t>Structure des onglets</t>
  </si>
  <si>
    <t>Contexte, but et structure des onglets</t>
  </si>
  <si>
    <t>Aperçu des resultats de 2021 et une comparaison avec les calculs précedents</t>
  </si>
  <si>
    <t>Onglet des détails des calculs des heures de traitement</t>
  </si>
  <si>
    <t>Onglet des détails des frais salariaux et la comparaison avec les autres professions</t>
  </si>
  <si>
    <t>Onglet des détails des frais d'exploitation</t>
  </si>
  <si>
    <t>Onglet des détails de location du cabinet</t>
  </si>
  <si>
    <t xml:space="preserve">Onglet des détails des exigences matérielles du cabinet </t>
  </si>
  <si>
    <t>Onglet des détails des petits instruments</t>
  </si>
  <si>
    <t>Onglet des détails du facteur d'intérêts</t>
  </si>
  <si>
    <t>Onglet des détails de l'estimation moins conservatrice et le kinésithérapeute avec uniquement</t>
  </si>
  <si>
    <t>des traitements au domicile du patient</t>
  </si>
  <si>
    <t>Onglet des détails du calcul de nombre d'heures travaillé par semaine pour engager</t>
  </si>
  <si>
    <t xml:space="preserve"> les coûts annuels</t>
  </si>
  <si>
    <t>Een kostendekkend honorarium kinesitherapeut</t>
  </si>
  <si>
    <t>Overzicht</t>
  </si>
  <si>
    <t>MOMC</t>
  </si>
  <si>
    <t>Axxon zelf</t>
  </si>
  <si>
    <t>SBB</t>
  </si>
  <si>
    <t>E&amp;Y</t>
  </si>
  <si>
    <t>Stijging 2021 tov 2014</t>
  </si>
  <si>
    <t>Loonkosten</t>
  </si>
  <si>
    <t>Geheel van niet-salariskosten</t>
  </si>
  <si>
    <t>Inrichting kabinet</t>
  </si>
  <si>
    <t>Totaal</t>
  </si>
  <si>
    <t>Uurtarief voor kine met prive-praktijk</t>
  </si>
  <si>
    <t>Kost per uur</t>
  </si>
  <si>
    <t>Uurtarief berekend op basis van productieve uren:</t>
  </si>
  <si>
    <t>Aantal werkuren per jaar</t>
  </si>
  <si>
    <t>Aantal behandelingen per uur</t>
  </si>
  <si>
    <t>Aantal productieve uren per jaar</t>
  </si>
  <si>
    <t>Productieve uren</t>
  </si>
  <si>
    <t>Vereenvoudigde weergave in verslag:</t>
  </si>
  <si>
    <t>Andere kosten</t>
  </si>
  <si>
    <t>De detail tabs geven de gedetailleerde berekeningen mee van elk onderdeel van de kosten</t>
  </si>
  <si>
    <t>Structuur</t>
  </si>
  <si>
    <t>Elke tab bevat een sectie met hoofdberekeningen, aangeduid door een kader:</t>
  </si>
  <si>
    <t>hoofdberekeningen met opbouw</t>
  </si>
  <si>
    <t xml:space="preserve">van belangrijkste componenten </t>
  </si>
  <si>
    <t>van de kosten</t>
  </si>
  <si>
    <t>Gevolgd door zooms op specifieke componenten (niet alle tabs bevatten zooms)</t>
  </si>
  <si>
    <t>Zoom voor component x</t>
  </si>
  <si>
    <t>Legende</t>
  </si>
  <si>
    <t>xxx</t>
  </si>
  <si>
    <t>Waardes uit zooms die terugkomen in tabel met hoofdberekeningen</t>
  </si>
  <si>
    <t>Waardes uit hoofdberekeningen die terugkomen in tab "Overzicht"</t>
  </si>
  <si>
    <t>Beschikbare uren</t>
  </si>
  <si>
    <t>Samenstelling voor 2021</t>
  </si>
  <si>
    <t>Component</t>
  </si>
  <si>
    <t>Kine</t>
  </si>
  <si>
    <t>Industrie</t>
  </si>
  <si>
    <t>Aanname</t>
  </si>
  <si>
    <t>Bron</t>
  </si>
  <si>
    <t>Totaal aantal dagen</t>
  </si>
  <si>
    <t>Weekends</t>
  </si>
  <si>
    <t>Wettelijke feestdagen</t>
  </si>
  <si>
    <t>Vakantiedagen</t>
  </si>
  <si>
    <t>Ziekteverzuim</t>
  </si>
  <si>
    <t>Gemiddelde ziekteverzuim UZ Leuven -&gt; navragen andere ziekenhuizen of Zorgnet</t>
  </si>
  <si>
    <t>Klein verlet</t>
  </si>
  <si>
    <t>Gewerkte dagen</t>
  </si>
  <si>
    <t>Uren per week</t>
  </si>
  <si>
    <t>Gewerkte uren</t>
  </si>
  <si>
    <t>Referentie: 1626 in UZ Leuven</t>
  </si>
  <si>
    <t>Gebaseerd op inputs UZ Leuven</t>
  </si>
  <si>
    <t>Kost drivers</t>
  </si>
  <si>
    <t>kost</t>
  </si>
  <si>
    <t>Bron &amp; aannames</t>
  </si>
  <si>
    <t>Referentie maandwedde</t>
  </si>
  <si>
    <t>Factor maandwedde - jaarwedde</t>
  </si>
  <si>
    <t>Jaarwedde exclusief vergoeding &amp; kosten verzekeringen &amp; sparen</t>
  </si>
  <si>
    <t>Extra vergoeding vergoeding niet-klassieke werkmomenten</t>
  </si>
  <si>
    <t>Jaarwedde exclusief kosten verzekeringen &amp; sparen</t>
  </si>
  <si>
    <t xml:space="preserve">Gewaarborgd inkomen verzekering voor 1.500 €/maand </t>
  </si>
  <si>
    <t>Verzekeringsagent</t>
  </si>
  <si>
    <t>Levensverzekering met overlijdensdekking voor 250.000€</t>
  </si>
  <si>
    <t>Verzekeringsagent (AG insurance), risicopremie (niet genivelleerde premies)</t>
  </si>
  <si>
    <t>IPT</t>
  </si>
  <si>
    <t>Schatting verzekeringsagent</t>
  </si>
  <si>
    <t>VAPZ</t>
  </si>
  <si>
    <t>Schatting verzekeringsagent (range 2500-3000€)</t>
  </si>
  <si>
    <t>Hospitalisatieverzekering</t>
  </si>
  <si>
    <t>Schatting verzekeringsagent (range 500-600€)</t>
  </si>
  <si>
    <t>Zuivere ongevallenverzekering</t>
  </si>
  <si>
    <t>Totale jaarwedde inclusief verzekeringen</t>
  </si>
  <si>
    <t>Waarde</t>
  </si>
  <si>
    <t>Delta</t>
  </si>
  <si>
    <t>Referentie: sociale lasten betaald door werkgever</t>
  </si>
  <si>
    <t>Referentie: totale loonkost voor werkgever</t>
  </si>
  <si>
    <t>Achtergrond</t>
  </si>
  <si>
    <t>Assumpties</t>
  </si>
  <si>
    <t>Factor maandwedde naar jaarwedde: algemeen</t>
  </si>
  <si>
    <t>Factor maandwedde naar jaarwedde: gezondheidszorg</t>
  </si>
  <si>
    <t>Informatie via HR ziekenhuizen</t>
  </si>
  <si>
    <t>Factor bruto jaarwedde naar loonkost</t>
  </si>
  <si>
    <t>Aantal uren per week</t>
  </si>
  <si>
    <t>Anciëniteit in jaren</t>
  </si>
  <si>
    <t>Gewerkte uren per jaar</t>
  </si>
  <si>
    <t>Zie tab beschikbare uren</t>
  </si>
  <si>
    <t>Type werknemer</t>
  </si>
  <si>
    <t>Bruto maandloon</t>
  </si>
  <si>
    <t>Bruto jaarloon</t>
  </si>
  <si>
    <t>Loonkost</t>
  </si>
  <si>
    <t>Bruto loon per uur</t>
  </si>
  <si>
    <t>Loonkost per uur</t>
  </si>
  <si>
    <t>Vlaamse ambtenaar, master, 22 j</t>
  </si>
  <si>
    <t>Leraar, master, 22j, Barema 501</t>
  </si>
  <si>
    <t>Leraar bachelor, 22j, Barema 301</t>
  </si>
  <si>
    <t>Leraar, onderwijzer, 22j, Barema 148</t>
  </si>
  <si>
    <t>Verpleegkundige IFIC 1.55-61-77H/CAT14, bachelor, 22j</t>
  </si>
  <si>
    <t>Gemiddelde over de 4 niveaus verpleegkundigen genomen in rapport</t>
  </si>
  <si>
    <t xml:space="preserve">Verpleegkundige IFIC 1.55-61+2JH/CAT14, bachelor, 22j </t>
  </si>
  <si>
    <t>Verpleegkundige IFIC 1.55-61-77H/CAT15, bachelor, 22j</t>
  </si>
  <si>
    <t>Verpleegkundige IFIC 1.55-61+2JH/CAT15, bachelor, 22j</t>
  </si>
  <si>
    <t>Kinesitherapeut IFIC 1.55-61-77, 22 j</t>
  </si>
  <si>
    <t>Kinesitherapeut 1.78 STC/CAT17 (HVK),22j</t>
  </si>
  <si>
    <t>Mogelijke referentie voor kinesitherapeut met bijzondere erkenning (manuele therapie)</t>
  </si>
  <si>
    <t>Kinesitherapeut 1.80/CAT17 (Stafmed), 22j</t>
  </si>
  <si>
    <t>Psycholoog IFIC 1.80/CAT16, 22 j</t>
  </si>
  <si>
    <t>Mogelijke referentie voor basis kinesitherapeut</t>
  </si>
  <si>
    <t>Categorie</t>
  </si>
  <si>
    <t>Kost</t>
  </si>
  <si>
    <t>Nutsvoorzieningen</t>
  </si>
  <si>
    <t>Verwarming, elektriciteit &amp; water</t>
  </si>
  <si>
    <t>Zie zoom</t>
  </si>
  <si>
    <t>Telefonie &amp; internet thuis</t>
  </si>
  <si>
    <t>Telenet Klik vanaf 93,67/maand. Proximus home office (89€) of All unlimited (107€)</t>
  </si>
  <si>
    <t>Internet thuiswerk</t>
  </si>
  <si>
    <t>Niet in rekening gebracht, business Fibernet: 52,54€/maand</t>
  </si>
  <si>
    <t>Kantoorkosten</t>
  </si>
  <si>
    <t>Printerinkt, papier</t>
  </si>
  <si>
    <t>Kinesitherapie info</t>
  </si>
  <si>
    <t>Publicaties</t>
  </si>
  <si>
    <t>Physios</t>
  </si>
  <si>
    <t>Lidgelden</t>
  </si>
  <si>
    <t>Seminaries</t>
  </si>
  <si>
    <t>Bedrijfskosten</t>
  </si>
  <si>
    <t>Boekhouder</t>
  </si>
  <si>
    <t>Inputs 5 boekhouders met kinéklanten, inclusief BTW. Range van 1000-3000€ (excl BTW), onderste van range genomen</t>
  </si>
  <si>
    <t>Verzekeringen</t>
  </si>
  <si>
    <t>Representatievergoeding</t>
  </si>
  <si>
    <t>50€ per maand</t>
  </si>
  <si>
    <t>Auto</t>
  </si>
  <si>
    <t>Zie zoom. Berekend aan vaste km-vergoeding</t>
  </si>
  <si>
    <t>Onderhoud materiaal &amp; gebouw</t>
  </si>
  <si>
    <t>Zie zoom. Enkel schoonmaak: 3h/week aan 12,5€/uur (https://www.verbouwkosten.com/kost-kantoor-schoonmaken)</t>
  </si>
  <si>
    <t>Magazines inkom</t>
  </si>
  <si>
    <t>Betalingsterminal</t>
  </si>
  <si>
    <t>Bron is FOD Economie, zie zoom</t>
  </si>
  <si>
    <t>Totaal exploitatiekosten</t>
  </si>
  <si>
    <t>Zoom nutsvoorzieningen (excl Telecom)</t>
  </si>
  <si>
    <t>Kost per m2</t>
  </si>
  <si>
    <t>Verwarming</t>
  </si>
  <si>
    <t>OG wijzer</t>
  </si>
  <si>
    <t>Elektriciteit</t>
  </si>
  <si>
    <t>Water</t>
  </si>
  <si>
    <t>Vlaamse milieumaatschappij</t>
  </si>
  <si>
    <t>Zoom kantoorkosten</t>
  </si>
  <si>
    <t>Papier</t>
  </si>
  <si>
    <t>Papier Clairalfa Box 2500 vellen A4 80 g</t>
  </si>
  <si>
    <t>Printerinkt</t>
  </si>
  <si>
    <t>123inkt.be</t>
  </si>
  <si>
    <t>Zoom op Kinesitherapie info - lidgeld</t>
  </si>
  <si>
    <t>AXXON</t>
  </si>
  <si>
    <t>WVVK</t>
  </si>
  <si>
    <t>Website</t>
  </si>
  <si>
    <t>ABKR</t>
  </si>
  <si>
    <t>Totaal lidgelden</t>
  </si>
  <si>
    <t>Zoom op Kinesitherapie info - seminaries</t>
  </si>
  <si>
    <t xml:space="preserve">Interuniversitair congres </t>
  </si>
  <si>
    <t>Sportkinesitherapie (1dag)</t>
  </si>
  <si>
    <t>5th Congres European Region</t>
  </si>
  <si>
    <t>World Physotherapy (on-line)</t>
  </si>
  <si>
    <t>Zoom op verzekeringen</t>
  </si>
  <si>
    <t>Burgerlijke aansprakelijkheid - gemiddelde privé</t>
  </si>
  <si>
    <t>Gesalarieerd kine</t>
  </si>
  <si>
    <t>Amma verzekeringen</t>
  </si>
  <si>
    <t xml:space="preserve">Privé zonder wervelzuilmanip / Kiné sans manipulation vertébrale </t>
  </si>
  <si>
    <t xml:space="preserve">Privé met wervelzuilmanip / avec manipulation </t>
  </si>
  <si>
    <t>Brandverzekering / huurverzekering</t>
  </si>
  <si>
    <t>Colson, gebaseerd op 100m2 met 165k€ kostprijs bouw. Gemiddelde brandverzekering (250€) en huurverzekering (200€)</t>
  </si>
  <si>
    <t>Schuldsaldoverzekering</t>
  </si>
  <si>
    <t>340, maar niet van toepassing bij huurwoning</t>
  </si>
  <si>
    <t>Totaal verzekeringen</t>
  </si>
  <si>
    <t>Zoom wagen</t>
  </si>
  <si>
    <t>Meest conservatie getal genomen</t>
  </si>
  <si>
    <t>Methode 1: prijs per km</t>
  </si>
  <si>
    <t>Aantal km</t>
  </si>
  <si>
    <t>Gebaseerd op survey Axxon maart 2021</t>
  </si>
  <si>
    <t>Bedrag per km</t>
  </si>
  <si>
    <t>Liantis</t>
  </si>
  <si>
    <t xml:space="preserve">Kost brandstofverbruik op basis van website VAB </t>
  </si>
  <si>
    <t>(cijfers voor 2019, maar brandstofprijzen nog steeds zelfde grootte-orde):</t>
  </si>
  <si>
    <t>Methode 2: aankoop wagen</t>
  </si>
  <si>
    <t>Aankoop / afschrijving</t>
  </si>
  <si>
    <t>VW golf van ongeveer 25000€, afgeschreven over 5j</t>
  </si>
  <si>
    <t>Brandstof</t>
  </si>
  <si>
    <t>9€ per 100km</t>
  </si>
  <si>
    <t>onderhoud &amp; herstelling</t>
  </si>
  <si>
    <t>Cardoen service +</t>
  </si>
  <si>
    <t>Verzekering</t>
  </si>
  <si>
    <t>Inputs verzekeringsagent</t>
  </si>
  <si>
    <t>verkeersbelasting</t>
  </si>
  <si>
    <t>Inputs boekhouders</t>
  </si>
  <si>
    <t>Zoom schoonmaak</t>
  </si>
  <si>
    <t>Bron: https://www.verbouwkosten.com/kost-kantoor-schoonmaken</t>
  </si>
  <si>
    <t>Zoom op magazines</t>
  </si>
  <si>
    <t>Kost per maand</t>
  </si>
  <si>
    <t>Kost per jaar</t>
  </si>
  <si>
    <t>Body talk</t>
  </si>
  <si>
    <t>Dag Allemaal</t>
  </si>
  <si>
    <t>Humo</t>
  </si>
  <si>
    <t>Knack</t>
  </si>
  <si>
    <t>Zoom betalingsterminal</t>
  </si>
  <si>
    <t>Bron: werking van de markt van de elektronische betalingen in België, FOD Economie</t>
  </si>
  <si>
    <t>https://economie.fgov.be/nl/publicaties/de-werking-van-de-markt-van-de</t>
  </si>
  <si>
    <t>Profiel 4 als referentie genomen, wat in de beschrijving het dichtste aansluit bij een kinesitherapeut</t>
  </si>
  <si>
    <t>"Een handelaar die 50 transacties per maand verricht, allemaal voor een bedrag tussen 11 en 250 euro"</t>
  </si>
  <si>
    <t>" Dit profiel zou kunnen overeenkomen met dat van een ambachtsman"</t>
  </si>
  <si>
    <r>
      <t>Gemiddelde jaarlijke huurprijs, in € per m</t>
    </r>
    <r>
      <rPr>
        <vertAlign val="superscript"/>
        <sz val="11"/>
        <color theme="1"/>
        <rFont val="Calibri"/>
        <family val="2"/>
        <scheme val="minor"/>
      </rPr>
      <t>2</t>
    </r>
  </si>
  <si>
    <t>Website DGE construction, cross-checks door steekproef op Immoweb en Vastgoedwijzer Vlaamse overheid 2019 (zie zoom)</t>
  </si>
  <si>
    <r>
      <t>Typische grootte praktijk in m</t>
    </r>
    <r>
      <rPr>
        <vertAlign val="superscript"/>
        <sz val="11"/>
        <color theme="1"/>
        <rFont val="Calibri"/>
        <family val="2"/>
        <scheme val="minor"/>
      </rPr>
      <t>2</t>
    </r>
  </si>
  <si>
    <t>Gemiddelde jaarlijkse huur, in €</t>
  </si>
  <si>
    <t>Zoom op typische grootte praktijk</t>
  </si>
  <si>
    <t>Ruimte</t>
  </si>
  <si>
    <r>
      <t>Aantal m</t>
    </r>
    <r>
      <rPr>
        <vertAlign val="superscript"/>
        <sz val="11"/>
        <color theme="1"/>
        <rFont val="Calibri"/>
        <family val="2"/>
        <scheme val="minor"/>
      </rPr>
      <t>2</t>
    </r>
  </si>
  <si>
    <t>Praktijkruimte</t>
  </si>
  <si>
    <t>Ruimte voor toestellen</t>
  </si>
  <si>
    <t>Wachtzaal</t>
  </si>
  <si>
    <t>Inkom</t>
  </si>
  <si>
    <t>Totale ruimte</t>
  </si>
  <si>
    <t>Zoom op gemiddelde jaarlijkse huurprijs</t>
  </si>
  <si>
    <t>Cross-check door sample op immoweb</t>
  </si>
  <si>
    <r>
      <t>Gemiddelde jaarlijke huurprijs van 120 € per m</t>
    </r>
    <r>
      <rPr>
        <vertAlign val="superscript"/>
        <sz val="11"/>
        <color theme="1"/>
        <rFont val="Calibri"/>
        <family val="2"/>
        <scheme val="minor"/>
      </rPr>
      <t>2</t>
    </r>
    <r>
      <rPr>
        <sz val="11"/>
        <color theme="1"/>
        <rFont val="Calibri"/>
        <family val="2"/>
        <scheme val="minor"/>
      </rPr>
      <t xml:space="preserve">  is conservatief tov 138€ per m2 uit random sample van 20 ruimtes geschikt voor kinesitherapiepraktijk op "Immoweb" (maart 2021)</t>
    </r>
  </si>
  <si>
    <t>Prijs per maand</t>
  </si>
  <si>
    <r>
      <t>m</t>
    </r>
    <r>
      <rPr>
        <vertAlign val="superscript"/>
        <sz val="11"/>
        <color theme="1"/>
        <rFont val="Calibri"/>
        <family val="2"/>
        <scheme val="minor"/>
      </rPr>
      <t>2</t>
    </r>
  </si>
  <si>
    <r>
      <t>Jaarlijkse prijs 
per m</t>
    </r>
    <r>
      <rPr>
        <vertAlign val="superscript"/>
        <sz val="11"/>
        <color theme="1"/>
        <rFont val="Calibri"/>
        <family val="2"/>
        <scheme val="minor"/>
      </rPr>
      <t>2</t>
    </r>
  </si>
  <si>
    <t>Locatie</t>
  </si>
  <si>
    <t>Elsene</t>
  </si>
  <si>
    <t>Schaarbeek</t>
  </si>
  <si>
    <t>Aalst</t>
  </si>
  <si>
    <t>Ukkel</t>
  </si>
  <si>
    <t>Jette</t>
  </si>
  <si>
    <t>Waver</t>
  </si>
  <si>
    <t>Terhulpen</t>
  </si>
  <si>
    <t>Gent</t>
  </si>
  <si>
    <t>Nivelles</t>
  </si>
  <si>
    <t>Rhode-Saint-Genèse</t>
  </si>
  <si>
    <t>Antwerpen</t>
  </si>
  <si>
    <t>Liège</t>
  </si>
  <si>
    <t>Maaseik</t>
  </si>
  <si>
    <t>Hannuit</t>
  </si>
  <si>
    <t>Geraardsbergen</t>
  </si>
  <si>
    <t>Eigenbrakel</t>
  </si>
  <si>
    <t>Mont-Saint-Guibert</t>
  </si>
  <si>
    <t>Asse</t>
  </si>
  <si>
    <t>Stekene</t>
  </si>
  <si>
    <t>Gemiddelde</t>
  </si>
  <si>
    <t>Cross-check door vergelijking met Vastgoedwijzer 2019 (Vlaamse Overheid)</t>
  </si>
  <si>
    <r>
      <t>Gemiddelde jaarlijke huurprijs van 120€ per m</t>
    </r>
    <r>
      <rPr>
        <vertAlign val="superscript"/>
        <sz val="11"/>
        <color theme="1"/>
        <rFont val="Calibri"/>
        <family val="2"/>
        <scheme val="minor"/>
      </rPr>
      <t>2</t>
    </r>
    <r>
      <rPr>
        <sz val="11"/>
        <color theme="1"/>
        <rFont val="Calibri"/>
        <family val="2"/>
        <scheme val="minor"/>
      </rPr>
      <t xml:space="preserve">  is conservatief tov range van 100€ per  m2 (buiten provinciehoofdsteden) en 200€ per  m2 (binnen provinciehoofdsteden)</t>
    </r>
  </si>
  <si>
    <t xml:space="preserve"> </t>
  </si>
  <si>
    <t>Inrichting</t>
  </si>
  <si>
    <t>Kost/jaar</t>
  </si>
  <si>
    <t>Toestellen - groot materiaal</t>
  </si>
  <si>
    <t>Gespecialiseerde leverancier kinesitherapie materiaal: Gymna</t>
  </si>
  <si>
    <t>Inrichting gebouw</t>
  </si>
  <si>
    <t>Gespecialiseerd gezondheidszorg architectenbureau: Architime</t>
  </si>
  <si>
    <t>Bemeubeling &amp; kantoorbenodigdheden</t>
  </si>
  <si>
    <t>Zie zoom: Bruneau, Coolblue, Mediamarkt &amp; Microsoft</t>
  </si>
  <si>
    <t>Totale inrichtingskost</t>
  </si>
  <si>
    <t>Zoom op toestellen - groot materiaal</t>
  </si>
  <si>
    <t>Bron: gespecialiseerde leverancier kinesitherapie materiaal: Gymna</t>
  </si>
  <si>
    <t>Commerciële korting van 10% toegepast t.o.v. catalogusprijs</t>
  </si>
  <si>
    <t>Artikelomschrijving</t>
  </si>
  <si>
    <t>Brutoprijs 
(na korting)</t>
  </si>
  <si>
    <t>Levensduur</t>
  </si>
  <si>
    <t>Sportraam - 2,35 x 0,90 m</t>
  </si>
  <si>
    <t>Mechanoportiek</t>
  </si>
  <si>
    <t>Handvat - 1 oog - hout</t>
  </si>
  <si>
    <t>Katrol Gymna</t>
  </si>
  <si>
    <t>Ophangtouw dubbel - 3 m</t>
  </si>
  <si>
    <t>Armmassagetafeltje</t>
  </si>
  <si>
    <t>Airex mat Corona - 200 x 100 x 1,5 cm - donkergrijs</t>
  </si>
  <si>
    <t>gymna.PRO T5, linear, wiel, ergomax - Anthracit</t>
  </si>
  <si>
    <t>Knierol groot</t>
  </si>
  <si>
    <t>Hoofd -en buiksteunkussen</t>
  </si>
  <si>
    <t>Zitkruk gymna.PRO - Classique uitvoering - Anthracite</t>
  </si>
  <si>
    <t>BH TFB fietsergometer - TFT</t>
  </si>
  <si>
    <t>BH RC12 loopband - TFT</t>
  </si>
  <si>
    <t>Trekapparaat super - 40 kg</t>
  </si>
  <si>
    <t>ShockMaster 300 - short handpiece</t>
  </si>
  <si>
    <t>Combi 200 - wit</t>
  </si>
  <si>
    <t>Mobile apparatenwagen</t>
  </si>
  <si>
    <t>Bosu balance trainer PRO edition</t>
  </si>
  <si>
    <t>Airex Balance Pad Elite - 50 x 41 x 6 cm - blauw</t>
  </si>
  <si>
    <t>Oefentol Wobblesmart - diam. 40 cm</t>
  </si>
  <si>
    <t>Togu Balanza Ballstep</t>
  </si>
  <si>
    <t>Aerobic step pro - Toorx - 3 hoogtes</t>
  </si>
  <si>
    <t>MoVeS handtrainingsbal eivormig - licht - rood</t>
  </si>
  <si>
    <t>MoVeS handtrainingsbal eivormig - medium - groen</t>
  </si>
  <si>
    <t>MoVeS handtrainingsbal eivormig - sterk - blauw</t>
  </si>
  <si>
    <t>Digi-Extend, unit met 4 weerstanden</t>
  </si>
  <si>
    <t>Halterrek kunststof - Mambo - voor 6 halters</t>
  </si>
  <si>
    <t>Halter - Mambo - 1,0 kg - geel (2 st)</t>
  </si>
  <si>
    <t>Halter - Mambo - 2,0 kg - groen (2 st)</t>
  </si>
  <si>
    <t>Halter - Mambo - 3,0 kg - blauw (2 st)</t>
  </si>
  <si>
    <t>Oefenmanchet - 1 kg</t>
  </si>
  <si>
    <t>Oefenmanchet - 2 kg</t>
  </si>
  <si>
    <t>Oefenmanchet - 3 kg</t>
  </si>
  <si>
    <t>Agility behendigheidsbaren voor kegels (3 st)</t>
  </si>
  <si>
    <t>Pure 2 Improve kegels - 30 cm (6 st)</t>
  </si>
  <si>
    <t>Hoes desinfecteerbaar - gymna.PRO - met gezichtsopening - PU - Graniet</t>
  </si>
  <si>
    <t>Togu MyBall - oefen-/zitbal - 65 cm - rood</t>
  </si>
  <si>
    <t>Pompje Qines 5 l bidon</t>
  </si>
  <si>
    <t>Pulsoximeter saturatiemeter vinger (LeQin)</t>
  </si>
  <si>
    <t>Goniometer plastic - 0-360° - 20 cm</t>
  </si>
  <si>
    <t>Transport, levering, installatie en montage</t>
  </si>
  <si>
    <t>Zoom op inrichting gebouw</t>
  </si>
  <si>
    <t>Bron: architectenbureau Architime</t>
  </si>
  <si>
    <t>Gebaseerd op gerealiseerde projecten tussen 2018 en 2020</t>
  </si>
  <si>
    <t>BTW</t>
  </si>
  <si>
    <t>Conservatieve assumptie dat het over renovatie gaat</t>
  </si>
  <si>
    <r>
      <t>Prijs per m</t>
    </r>
    <r>
      <rPr>
        <b/>
        <vertAlign val="superscript"/>
        <sz val="11"/>
        <color theme="1"/>
        <rFont val="Calibri"/>
        <family val="2"/>
        <scheme val="minor"/>
      </rPr>
      <t>2</t>
    </r>
    <r>
      <rPr>
        <b/>
        <sz val="11"/>
        <color theme="1"/>
        <rFont val="Calibri"/>
        <family val="2"/>
        <scheme val="minor"/>
      </rPr>
      <t xml:space="preserve"> (excl. BTW)</t>
    </r>
  </si>
  <si>
    <t>Totale prijs 
(incl BWT)</t>
  </si>
  <si>
    <t>Opmerking</t>
  </si>
  <si>
    <t>Vloeren</t>
  </si>
  <si>
    <t>Gyproc wanden &amp; plafond</t>
  </si>
  <si>
    <t>Veronderstel deel van huur</t>
  </si>
  <si>
    <t>Deuren</t>
  </si>
  <si>
    <t>Maatwerk</t>
  </si>
  <si>
    <t>Bevat ontvangstbalie, kasten, …</t>
  </si>
  <si>
    <t>Technieken</t>
  </si>
  <si>
    <t>Veronderstel deel van huur. Bevat elektriciteit, lichten, sanitair (incl. toestellen zoals WC &amp; lavabo), branddetectie, …</t>
  </si>
  <si>
    <t>Schilder &amp; wandbekleding</t>
  </si>
  <si>
    <t>Prijs</t>
  </si>
  <si>
    <t>Bureau</t>
  </si>
  <si>
    <t>Catalogus Bruneau</t>
  </si>
  <si>
    <t>Bureaustoel</t>
  </si>
  <si>
    <t>Stoelen (6 stuks aan 90€)</t>
  </si>
  <si>
    <t>Tafeltje wachtkamer</t>
  </si>
  <si>
    <t>Laptop (HP Pavilion 15-cw1017nb Azerty)</t>
  </si>
  <si>
    <t>Coolblue, toestel = "Coolblue's keuze" voor 15inch middenklasse laptop</t>
  </si>
  <si>
    <t>Printer</t>
  </si>
  <si>
    <t>Mediamarkt</t>
  </si>
  <si>
    <t>Microsoft 365</t>
  </si>
  <si>
    <t>Microsoft</t>
  </si>
  <si>
    <t>Vaste telefoon</t>
  </si>
  <si>
    <t>Coolblue</t>
  </si>
  <si>
    <t>Tablet (Apple iPad (2020) 10.2 inch 32GB Wifi Space Gray)</t>
  </si>
  <si>
    <t>Coolblue, toestel = "Coolblue's keuze" (32GB ipv 128GB genomen)</t>
  </si>
  <si>
    <t>Aantal stuks</t>
  </si>
  <si>
    <t>MoVeS oefenband - 5,5 m - medium - rood</t>
  </si>
  <si>
    <t>MoVeS oefenband - 5,5 m - sterk - groen</t>
  </si>
  <si>
    <t>MoVeS oefenband - 5,5 m - licht - geel</t>
  </si>
  <si>
    <t>Clinell schuimspray desinfectie medische oppervlakken - alcoholvrij - 500 ml</t>
  </si>
  <si>
    <t>Clinell Soft doekjes desinfectie handen &amp; oppervlakken - alcoholvrij - L pack (100 st)</t>
  </si>
  <si>
    <t>Clinell handontsmetting 75% - vernevelpomp - 520 ml</t>
  </si>
  <si>
    <t>Mondmasker chirurgisch type IIR - 3 lagen - oorelastieken (50 st)</t>
  </si>
  <si>
    <t>CureTape Giant - 5 cm x 31,5 m - huidkleur</t>
  </si>
  <si>
    <t>Naturel massagemelk Qines - 5 l</t>
  </si>
  <si>
    <t>Moor Pack - Qines - 30 x 40 cm</t>
  </si>
  <si>
    <t>Hot/Cold Pack - Qines - 16 x 26 cm - p st/ p 12 st</t>
  </si>
  <si>
    <t>Contactgel - Qines - 5 l</t>
  </si>
  <si>
    <t>Elektrode zelfklevend - Qines - 5 x 5 cm (4 st)</t>
  </si>
  <si>
    <t>Totaal klein instrumentarium</t>
  </si>
  <si>
    <t>Toelichting</t>
  </si>
  <si>
    <t>Investering in toestellen - groot materiaal</t>
  </si>
  <si>
    <t>Waarde uit berekeningen tab "inrichtingskost"</t>
  </si>
  <si>
    <t>Investering in inrichting gebouw</t>
  </si>
  <si>
    <t>Totale investering in inrichting</t>
  </si>
  <si>
    <t>Rente</t>
  </si>
  <si>
    <t xml:space="preserve">Conservatieve aanname: gegarandeerde rentevoet in IPT tak 21.* </t>
  </si>
  <si>
    <t>Jaarlijkse kost rente</t>
  </si>
  <si>
    <t xml:space="preserve">*Een perfecte referentie voor de kost van kapitaal vinden is niet evident. </t>
  </si>
  <si>
    <t>IPT rentevoeten geven een idee rond de typische opbrengst van kapitaal, en zijn een van de mogelijke referenties. We gaan hier uit van de meest convervatieve IPT opbrengst, namelijk tak 21</t>
  </si>
  <si>
    <t>Een minder conservatieve aanname zou 2% zijn, wat de typische opbrengst tak 23 is.</t>
  </si>
  <si>
    <t>Alternatieven, zoals convervatieve investeringsfondsen, zullen typisch ook in de 0,5-2,5% range liggen.</t>
  </si>
  <si>
    <t>Referentie: minder conservatie rente</t>
  </si>
  <si>
    <t>Referentie: minder conservatieve jaarlijkse kost rente</t>
  </si>
  <si>
    <t>Kinesist aan huis</t>
  </si>
  <si>
    <t>basis kinesitherapeut</t>
  </si>
  <si>
    <t>kinesitherapeut bijzondere erkenning</t>
  </si>
  <si>
    <t>% toename vs base scenario</t>
  </si>
  <si>
    <t>Uurtarief</t>
  </si>
  <si>
    <t>Uren werk</t>
  </si>
  <si>
    <t>Uur per dag behandeling</t>
  </si>
  <si>
    <t>Uur per dag totaal werk</t>
  </si>
  <si>
    <t>Uur per week totaal werk</t>
  </si>
  <si>
    <t>Aantal dagen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</si>
</sst>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 #,##0.00_-;_-* &quot;-&quot;??_-;_-@_-"/>
    <numFmt numFmtId="165" formatCode="_-* #,##0_-;\-* #,##0_-;_-* &quot;-&quot;??_-;_-@_-"/>
    <numFmt numFmtId="166" formatCode="0.0"/>
    <numFmt numFmtId="167" formatCode="0.0%"/>
    <numFmt numFmtId="168" formatCode="_-* #,##0.00\ _€_-;\-* #,##0.00\ _€_-;_-* &quot;-&quot;??\ _€_-;_-@_-"/>
    <numFmt numFmtId="169" formatCode="#,##0.0"/>
    <numFmt numFmtId="170" formatCode="_-* #,##0\ _€_-;\-* #,##0\ _€_-;_-* &quot;-&quot;??\ _€_-;_-@_-"/>
  </numFmts>
  <fonts count="28">
    <font>
      <sz val="11"/>
      <color theme="1"/>
      <name val="Calibri"/>
      <family val="2"/>
      <scheme val="minor"/>
    </font>
    <font>
      <b/>
      <sz val="11"/>
      <color theme="1"/>
      <name val="Calibri"/>
      <family val="2"/>
      <scheme val="minor"/>
    </font>
    <font>
      <vertAlign val="superscript"/>
      <sz val="11"/>
      <color theme="1"/>
      <name val="Calibri"/>
      <family val="2"/>
      <scheme val="minor"/>
    </font>
    <font>
      <sz val="11"/>
      <color theme="1"/>
      <name val="Calibri"/>
      <family val="2"/>
      <scheme val="minor"/>
    </font>
    <font>
      <b/>
      <i/>
      <sz val="11"/>
      <color theme="1"/>
      <name val="Calibri"/>
      <family val="2"/>
      <scheme val="minor"/>
    </font>
    <font>
      <b/>
      <sz val="11"/>
      <color theme="0"/>
      <name val="Calibri"/>
      <family val="2"/>
      <scheme val="minor"/>
    </font>
    <font>
      <sz val="22"/>
      <color rgb="FF002060"/>
      <name val="Calibri"/>
      <family val="2"/>
      <scheme val="minor"/>
    </font>
    <font>
      <b/>
      <sz val="11"/>
      <color rgb="FF3F3F3F"/>
      <name val="Calibri"/>
      <family val="2"/>
      <scheme val="minor"/>
    </font>
    <font>
      <sz val="11"/>
      <color rgb="FFFF0000"/>
      <name val="Calibri"/>
      <family val="2"/>
      <scheme val="minor"/>
    </font>
    <font>
      <sz val="11"/>
      <color theme="2" tint="-0.249977111117893"/>
      <name val="Calibri"/>
      <family val="2"/>
      <scheme val="minor"/>
    </font>
    <font>
      <i/>
      <sz val="11"/>
      <color theme="1"/>
      <name val="Calibri"/>
      <family val="2"/>
      <scheme val="minor"/>
    </font>
    <font>
      <b/>
      <sz val="11"/>
      <color rgb="FFFA7D00"/>
      <name val="Calibri"/>
      <family val="2"/>
      <scheme val="minor"/>
    </font>
    <font>
      <b/>
      <sz val="12"/>
      <color rgb="FF002060"/>
      <name val="Arial"/>
      <family val="2"/>
    </font>
    <font>
      <sz val="10"/>
      <color theme="1"/>
      <name val="Calibri"/>
      <family val="2"/>
      <scheme val="minor"/>
    </font>
    <font>
      <sz val="10"/>
      <name val="Arial"/>
      <family val="2"/>
    </font>
    <font>
      <sz val="11"/>
      <color theme="1"/>
      <name val="Arial"/>
      <family val="2"/>
    </font>
    <font>
      <sz val="10"/>
      <color theme="1"/>
      <name val="Arial"/>
      <family val="2"/>
    </font>
    <font>
      <sz val="11"/>
      <name val="Arial"/>
      <family val="2"/>
    </font>
    <font>
      <b/>
      <sz val="10"/>
      <color rgb="FF002060"/>
      <name val="Arial"/>
      <family val="2"/>
    </font>
    <font>
      <b/>
      <sz val="11"/>
      <color rgb="FF002060"/>
      <name val="Calibri"/>
      <family val="2"/>
      <scheme val="minor"/>
    </font>
    <font>
      <sz val="11"/>
      <color rgb="FF002060"/>
      <name val="Calibri"/>
      <family val="2"/>
      <scheme val="minor"/>
    </font>
    <font>
      <b/>
      <vertAlign val="superscript"/>
      <sz val="11"/>
      <color theme="1"/>
      <name val="Calibri"/>
      <family val="2"/>
      <scheme val="minor"/>
    </font>
    <font>
      <b/>
      <sz val="16"/>
      <color rgb="FF002060"/>
      <name val="Arial"/>
      <family val="2"/>
    </font>
    <font>
      <sz val="11"/>
      <name val="Calibri"/>
      <family val="2"/>
      <scheme val="minor"/>
    </font>
    <font>
      <sz val="11"/>
      <color theme="0" tint="-0.14999847407452621"/>
      <name val="Calibri"/>
      <family val="2"/>
      <scheme val="minor"/>
    </font>
    <font>
      <b/>
      <sz val="11"/>
      <color theme="2" tint="-0.749992370372631"/>
      <name val="Calibri"/>
      <family val="2"/>
      <scheme val="minor"/>
    </font>
    <font>
      <sz val="11"/>
      <color theme="2" tint="-0.749992370372631"/>
      <name val="Calibri"/>
      <family val="2"/>
      <scheme val="minor"/>
    </font>
    <font>
      <u/>
      <sz val="11"/>
      <color theme="10"/>
      <name val="Calibri"/>
      <family val="2"/>
      <scheme val="minor"/>
    </font>
  </fonts>
  <fills count="10">
    <fill>
      <patternFill patternType="none"/>
    </fill>
    <fill>
      <patternFill patternType="gray125"/>
    </fill>
    <fill>
      <patternFill patternType="solid">
        <fgColor theme="6" tint="0.59999389629810485"/>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theme="3"/>
        <bgColor indexed="64"/>
      </patternFill>
    </fill>
    <fill>
      <patternFill patternType="solid">
        <fgColor rgb="FFF2F2F2"/>
      </patternFill>
    </fill>
    <fill>
      <patternFill patternType="solid">
        <fgColor rgb="FF002060"/>
        <bgColor indexed="64"/>
      </patternFill>
    </fill>
    <fill>
      <patternFill patternType="solid">
        <fgColor theme="0" tint="-4.9989318521683403E-2"/>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thin">
        <color rgb="FF3F3F3F"/>
      </left>
      <right style="thin">
        <color rgb="FF3F3F3F"/>
      </right>
      <top style="thin">
        <color rgb="FF3F3F3F"/>
      </top>
      <bottom style="thin">
        <color rgb="FF3F3F3F"/>
      </bottom>
      <diagonal/>
    </border>
    <border>
      <left style="thin">
        <color rgb="FF3F3F3F"/>
      </left>
      <right style="thin">
        <color rgb="FF3F3F3F"/>
      </right>
      <top/>
      <bottom style="thin">
        <color rgb="FF3F3F3F"/>
      </bottom>
      <diagonal/>
    </border>
    <border>
      <left style="thin">
        <color indexed="64"/>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style="thin">
        <color rgb="FF002060"/>
      </left>
      <right style="thin">
        <color rgb="FF002060"/>
      </right>
      <top style="thin">
        <color rgb="FF002060"/>
      </top>
      <bottom style="thin">
        <color rgb="FF002060"/>
      </bottom>
      <diagonal/>
    </border>
    <border>
      <left style="thin">
        <color rgb="FF002060"/>
      </left>
      <right/>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right/>
      <top style="thin">
        <color indexed="64"/>
      </top>
      <bottom style="double">
        <color rgb="FF002060"/>
      </bottom>
      <diagonal/>
    </border>
    <border>
      <left/>
      <right/>
      <top/>
      <bottom style="double">
        <color rgb="FF002060"/>
      </bottom>
      <diagonal/>
    </border>
    <border>
      <left style="thin">
        <color rgb="FF7F7F7F"/>
      </left>
      <right style="thin">
        <color rgb="FF7F7F7F"/>
      </right>
      <top/>
      <bottom style="thin">
        <color rgb="FF7F7F7F"/>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s>
  <cellStyleXfs count="7">
    <xf numFmtId="0" fontId="0" fillId="0" borderId="0"/>
    <xf numFmtId="164" fontId="3" fillId="0" borderId="0" applyFont="0" applyFill="0" applyBorder="0" applyAlignment="0" applyProtection="0"/>
    <xf numFmtId="9" fontId="3" fillId="0" borderId="0" applyFont="0" applyFill="0" applyBorder="0" applyAlignment="0" applyProtection="0"/>
    <xf numFmtId="0" fontId="7" fillId="6" borderId="3" applyNumberFormat="0" applyAlignment="0" applyProtection="0"/>
    <xf numFmtId="0" fontId="11" fillId="6" borderId="6" applyNumberFormat="0" applyAlignment="0" applyProtection="0"/>
    <xf numFmtId="0" fontId="23" fillId="0" borderId="0"/>
    <xf numFmtId="0" fontId="27" fillId="0" borderId="0" applyNumberFormat="0" applyFill="0" applyBorder="0" applyAlignment="0" applyProtection="0"/>
  </cellStyleXfs>
  <cellXfs count="177">
    <xf numFmtId="0" fontId="0" fillId="0" borderId="0" xfId="0"/>
    <xf numFmtId="0" fontId="1" fillId="0" borderId="0" xfId="0" applyFont="1"/>
    <xf numFmtId="165" fontId="0" fillId="0" borderId="0" xfId="1" applyNumberFormat="1" applyFont="1"/>
    <xf numFmtId="4" fontId="0" fillId="0" borderId="0" xfId="0" applyNumberFormat="1"/>
    <xf numFmtId="2" fontId="0" fillId="0" borderId="0" xfId="0" applyNumberFormat="1"/>
    <xf numFmtId="164" fontId="0" fillId="0" borderId="0" xfId="1" applyFont="1"/>
    <xf numFmtId="0" fontId="0" fillId="0" borderId="0" xfId="0" applyFont="1"/>
    <xf numFmtId="165" fontId="0" fillId="0" borderId="0" xfId="0" applyNumberFormat="1"/>
    <xf numFmtId="164" fontId="0" fillId="0" borderId="0" xfId="1" applyNumberFormat="1" applyFont="1"/>
    <xf numFmtId="9" fontId="0" fillId="0" borderId="0" xfId="0" applyNumberFormat="1"/>
    <xf numFmtId="10" fontId="0" fillId="0" borderId="0" xfId="0" applyNumberFormat="1"/>
    <xf numFmtId="0" fontId="1" fillId="2" borderId="1" xfId="0" applyFont="1" applyFill="1" applyBorder="1" applyAlignment="1">
      <alignment horizontal="right"/>
    </xf>
    <xf numFmtId="0" fontId="5" fillId="3" borderId="0" xfId="0" applyFont="1" applyFill="1"/>
    <xf numFmtId="164" fontId="1" fillId="0" borderId="0" xfId="1" applyNumberFormat="1" applyFont="1"/>
    <xf numFmtId="9" fontId="0" fillId="0" borderId="0" xfId="2" applyFont="1"/>
    <xf numFmtId="166" fontId="0" fillId="0" borderId="0" xfId="0" applyNumberFormat="1"/>
    <xf numFmtId="1" fontId="0" fillId="0" borderId="0" xfId="0" applyNumberFormat="1"/>
    <xf numFmtId="0" fontId="0" fillId="5" borderId="0" xfId="0" applyFill="1"/>
    <xf numFmtId="0" fontId="1" fillId="0" borderId="2" xfId="0" applyFont="1" applyBorder="1"/>
    <xf numFmtId="0" fontId="0" fillId="0" borderId="2" xfId="0" applyBorder="1"/>
    <xf numFmtId="0" fontId="5" fillId="5" borderId="0" xfId="0" applyFont="1" applyFill="1"/>
    <xf numFmtId="0" fontId="1" fillId="0" borderId="0" xfId="0" applyFont="1" applyBorder="1"/>
    <xf numFmtId="0" fontId="0" fillId="0" borderId="0" xfId="0" applyBorder="1"/>
    <xf numFmtId="165" fontId="0" fillId="0" borderId="0" xfId="1" applyNumberFormat="1" applyFont="1" applyBorder="1"/>
    <xf numFmtId="165" fontId="0" fillId="0" borderId="0" xfId="0" applyNumberFormat="1" applyBorder="1"/>
    <xf numFmtId="165" fontId="0" fillId="0" borderId="2" xfId="1" applyNumberFormat="1" applyFont="1" applyBorder="1"/>
    <xf numFmtId="0" fontId="6" fillId="4" borderId="0" xfId="0" applyFont="1" applyFill="1"/>
    <xf numFmtId="0" fontId="0" fillId="4" borderId="0" xfId="0" applyFill="1"/>
    <xf numFmtId="1" fontId="7" fillId="6" borderId="3" xfId="3" applyNumberFormat="1"/>
    <xf numFmtId="0" fontId="0" fillId="0" borderId="1" xfId="0" applyBorder="1"/>
    <xf numFmtId="168" fontId="0" fillId="0" borderId="0" xfId="0" applyNumberFormat="1"/>
    <xf numFmtId="164" fontId="0" fillId="0" borderId="1" xfId="1" applyNumberFormat="1" applyFont="1" applyBorder="1"/>
    <xf numFmtId="0" fontId="1" fillId="0" borderId="1" xfId="0" applyFont="1" applyFill="1" applyBorder="1"/>
    <xf numFmtId="164" fontId="0" fillId="0" borderId="1" xfId="1" applyNumberFormat="1" applyFont="1" applyFill="1" applyBorder="1"/>
    <xf numFmtId="164" fontId="5" fillId="3" borderId="1" xfId="1" applyFont="1" applyFill="1" applyBorder="1"/>
    <xf numFmtId="2" fontId="5" fillId="3" borderId="1" xfId="0" applyNumberFormat="1" applyFont="1" applyFill="1" applyBorder="1"/>
    <xf numFmtId="1" fontId="1" fillId="0" borderId="0" xfId="0" applyNumberFormat="1" applyFont="1"/>
    <xf numFmtId="2" fontId="1" fillId="0" borderId="0" xfId="0" applyNumberFormat="1" applyFont="1"/>
    <xf numFmtId="164" fontId="7" fillId="6" borderId="3" xfId="3" applyNumberFormat="1"/>
    <xf numFmtId="0" fontId="9" fillId="0" borderId="0" xfId="0" applyFont="1"/>
    <xf numFmtId="0" fontId="1" fillId="0" borderId="0" xfId="0" applyFont="1" applyFill="1"/>
    <xf numFmtId="0" fontId="0" fillId="0" borderId="0" xfId="0" applyFill="1"/>
    <xf numFmtId="164" fontId="1" fillId="0" borderId="0" xfId="0" applyNumberFormat="1" applyFont="1"/>
    <xf numFmtId="169" fontId="0" fillId="0" borderId="0" xfId="0" applyNumberFormat="1"/>
    <xf numFmtId="0" fontId="10" fillId="0" borderId="0" xfId="0" applyFont="1"/>
    <xf numFmtId="4" fontId="7" fillId="6" borderId="4" xfId="3" applyNumberFormat="1" applyBorder="1"/>
    <xf numFmtId="4" fontId="0" fillId="0" borderId="1" xfId="0" applyNumberFormat="1" applyBorder="1"/>
    <xf numFmtId="0" fontId="1" fillId="0" borderId="1" xfId="0" applyFont="1" applyBorder="1"/>
    <xf numFmtId="4" fontId="1" fillId="0" borderId="1" xfId="0" applyNumberFormat="1" applyFont="1" applyBorder="1"/>
    <xf numFmtId="9" fontId="0" fillId="0" borderId="1" xfId="0" applyNumberFormat="1" applyBorder="1"/>
    <xf numFmtId="4" fontId="0" fillId="0" borderId="1" xfId="0" applyNumberFormat="1" applyFont="1" applyBorder="1"/>
    <xf numFmtId="0" fontId="0" fillId="0" borderId="5" xfId="0" applyBorder="1"/>
    <xf numFmtId="1" fontId="7" fillId="6" borderId="4" xfId="3" applyNumberFormat="1" applyBorder="1"/>
    <xf numFmtId="4" fontId="0" fillId="0" borderId="1" xfId="0" applyNumberFormat="1" applyFill="1" applyBorder="1"/>
    <xf numFmtId="3" fontId="0" fillId="0" borderId="1" xfId="0" applyNumberFormat="1" applyBorder="1"/>
    <xf numFmtId="1" fontId="0" fillId="0" borderId="1" xfId="0" applyNumberFormat="1" applyBorder="1"/>
    <xf numFmtId="0" fontId="0" fillId="0" borderId="0" xfId="0" applyFill="1" applyBorder="1"/>
    <xf numFmtId="0" fontId="0" fillId="7" borderId="0" xfId="0" applyFill="1"/>
    <xf numFmtId="0" fontId="0" fillId="0" borderId="8" xfId="0" applyBorder="1"/>
    <xf numFmtId="0" fontId="12" fillId="0" borderId="9" xfId="0" applyFont="1"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0" fontId="13" fillId="0" borderId="0" xfId="0" applyFont="1" applyBorder="1"/>
    <xf numFmtId="0" fontId="14" fillId="0" borderId="0" xfId="0" applyFont="1" applyAlignment="1">
      <alignment horizontal="left" vertical="center" readingOrder="1"/>
    </xf>
    <xf numFmtId="0" fontId="14" fillId="0" borderId="0" xfId="0" applyFont="1"/>
    <xf numFmtId="0" fontId="15" fillId="0" borderId="12" xfId="0" applyFont="1" applyBorder="1"/>
    <xf numFmtId="0" fontId="15" fillId="0" borderId="0" xfId="0" applyFont="1" applyBorder="1"/>
    <xf numFmtId="0" fontId="15" fillId="0" borderId="13" xfId="0" applyFont="1" applyBorder="1"/>
    <xf numFmtId="0" fontId="15" fillId="0" borderId="0" xfId="0" applyFont="1"/>
    <xf numFmtId="0" fontId="16" fillId="0" borderId="12" xfId="0" applyFont="1" applyBorder="1"/>
    <xf numFmtId="0" fontId="17" fillId="0" borderId="0" xfId="0" applyFont="1" applyBorder="1"/>
    <xf numFmtId="0" fontId="17" fillId="0" borderId="13" xfId="0" applyFont="1" applyBorder="1"/>
    <xf numFmtId="0" fontId="17" fillId="0" borderId="0" xfId="0" applyFont="1"/>
    <xf numFmtId="0" fontId="14" fillId="0" borderId="0" xfId="0" applyFont="1" applyBorder="1"/>
    <xf numFmtId="0" fontId="16" fillId="0" borderId="0" xfId="0" applyFont="1" applyBorder="1"/>
    <xf numFmtId="0" fontId="12" fillId="0" borderId="12" xfId="0" applyFont="1" applyBorder="1"/>
    <xf numFmtId="0" fontId="13" fillId="0" borderId="13" xfId="0" applyFont="1" applyBorder="1"/>
    <xf numFmtId="0" fontId="16" fillId="0" borderId="12" xfId="0" applyFont="1" applyFill="1" applyBorder="1"/>
    <xf numFmtId="0" fontId="18" fillId="0" borderId="0" xfId="0" applyFont="1" applyBorder="1" applyAlignment="1">
      <alignment horizontal="left" vertical="center" readingOrder="1"/>
    </xf>
    <xf numFmtId="0" fontId="18" fillId="0" borderId="8" xfId="0" applyFont="1" applyBorder="1" applyAlignment="1">
      <alignment horizontal="left" vertical="center" indent="1" readingOrder="1"/>
    </xf>
    <xf numFmtId="0" fontId="19" fillId="0" borderId="2" xfId="0" applyFont="1" applyFill="1" applyBorder="1"/>
    <xf numFmtId="0" fontId="19" fillId="4" borderId="2" xfId="0" applyFont="1" applyFill="1" applyBorder="1"/>
    <xf numFmtId="0" fontId="0" fillId="0" borderId="17" xfId="0" applyBorder="1"/>
    <xf numFmtId="4" fontId="0" fillId="0" borderId="17" xfId="0" applyNumberFormat="1" applyFont="1" applyBorder="1"/>
    <xf numFmtId="1" fontId="0" fillId="0" borderId="0" xfId="0" applyNumberFormat="1" applyBorder="1"/>
    <xf numFmtId="1" fontId="0" fillId="0" borderId="17" xfId="0" applyNumberFormat="1" applyBorder="1"/>
    <xf numFmtId="0" fontId="19" fillId="0" borderId="0" xfId="0" applyFont="1"/>
    <xf numFmtId="0" fontId="0" fillId="0" borderId="18" xfId="0" applyBorder="1"/>
    <xf numFmtId="164" fontId="11" fillId="6" borderId="6" xfId="4" applyNumberFormat="1"/>
    <xf numFmtId="0" fontId="19" fillId="0" borderId="0" xfId="0" applyFont="1" applyFill="1" applyBorder="1"/>
    <xf numFmtId="0" fontId="0" fillId="0" borderId="7" xfId="0" applyBorder="1"/>
    <xf numFmtId="4" fontId="0" fillId="0" borderId="7" xfId="0" applyNumberFormat="1" applyBorder="1"/>
    <xf numFmtId="164" fontId="0" fillId="0" borderId="0" xfId="0" applyNumberFormat="1"/>
    <xf numFmtId="164" fontId="0" fillId="0" borderId="0" xfId="0" applyNumberFormat="1" applyBorder="1"/>
    <xf numFmtId="0" fontId="4" fillId="0" borderId="0" xfId="0" applyFont="1" applyBorder="1" applyAlignment="1">
      <alignment horizontal="center"/>
    </xf>
    <xf numFmtId="4" fontId="0" fillId="0" borderId="0" xfId="0" applyNumberFormat="1" applyBorder="1"/>
    <xf numFmtId="167" fontId="0" fillId="0" borderId="0" xfId="2" applyNumberFormat="1" applyFont="1" applyBorder="1"/>
    <xf numFmtId="0" fontId="8" fillId="0" borderId="0" xfId="0" applyFont="1" applyBorder="1"/>
    <xf numFmtId="0" fontId="0" fillId="0" borderId="9" xfId="0" applyBorder="1"/>
    <xf numFmtId="4" fontId="0" fillId="0" borderId="15" xfId="0" applyNumberFormat="1" applyBorder="1"/>
    <xf numFmtId="165" fontId="0" fillId="0" borderId="0" xfId="1" applyNumberFormat="1" applyFont="1" applyFill="1" applyBorder="1"/>
    <xf numFmtId="0" fontId="19" fillId="0" borderId="0" xfId="0" applyFont="1" applyBorder="1"/>
    <xf numFmtId="165" fontId="7" fillId="6" borderId="3" xfId="3" applyNumberFormat="1" applyBorder="1"/>
    <xf numFmtId="0" fontId="0" fillId="0" borderId="0" xfId="0" applyFont="1" applyBorder="1"/>
    <xf numFmtId="164" fontId="0" fillId="0" borderId="0" xfId="1" applyFont="1" applyBorder="1"/>
    <xf numFmtId="0" fontId="1" fillId="0" borderId="13" xfId="0" applyFont="1" applyFill="1" applyBorder="1" applyAlignment="1">
      <alignment wrapText="1"/>
    </xf>
    <xf numFmtId="0" fontId="1" fillId="8" borderId="0" xfId="0" applyFont="1" applyFill="1"/>
    <xf numFmtId="0" fontId="19" fillId="4" borderId="2" xfId="0" applyFont="1" applyFill="1" applyBorder="1" applyAlignment="1">
      <alignment wrapText="1"/>
    </xf>
    <xf numFmtId="164" fontId="0" fillId="0" borderId="0" xfId="1" applyFont="1" applyFill="1"/>
    <xf numFmtId="164" fontId="11" fillId="6" borderId="19" xfId="4" applyNumberFormat="1" applyBorder="1"/>
    <xf numFmtId="165" fontId="0" fillId="0" borderId="18" xfId="0" applyNumberFormat="1" applyBorder="1"/>
    <xf numFmtId="0" fontId="20" fillId="0" borderId="0" xfId="0" applyFont="1"/>
    <xf numFmtId="164" fontId="11" fillId="0" borderId="0" xfId="4" applyNumberFormat="1" applyFill="1" applyBorder="1"/>
    <xf numFmtId="164" fontId="0" fillId="0" borderId="0" xfId="1" applyFont="1" applyFill="1" applyBorder="1"/>
    <xf numFmtId="164" fontId="7" fillId="6" borderId="3" xfId="3" applyNumberFormat="1" applyBorder="1"/>
    <xf numFmtId="1" fontId="0" fillId="0" borderId="0" xfId="0" applyNumberFormat="1" applyFont="1"/>
    <xf numFmtId="0" fontId="0" fillId="0" borderId="0" xfId="0" applyFont="1" applyFill="1" applyBorder="1" applyAlignment="1">
      <alignment wrapText="1"/>
    </xf>
    <xf numFmtId="0" fontId="0" fillId="0" borderId="0" xfId="0" applyFont="1" applyFill="1" applyBorder="1"/>
    <xf numFmtId="164" fontId="1" fillId="8" borderId="0" xfId="1" applyFont="1" applyFill="1"/>
    <xf numFmtId="168" fontId="1" fillId="8" borderId="0" xfId="0" applyNumberFormat="1" applyFont="1" applyFill="1"/>
    <xf numFmtId="164" fontId="0" fillId="0" borderId="18" xfId="0" applyNumberFormat="1" applyBorder="1"/>
    <xf numFmtId="0" fontId="19" fillId="4" borderId="2" xfId="0" applyFont="1" applyFill="1" applyBorder="1" applyAlignment="1">
      <alignment horizontal="right"/>
    </xf>
    <xf numFmtId="164" fontId="0" fillId="0" borderId="0" xfId="0" applyNumberFormat="1" applyFont="1"/>
    <xf numFmtId="0" fontId="22" fillId="0" borderId="0" xfId="0" applyFont="1" applyBorder="1"/>
    <xf numFmtId="0" fontId="12" fillId="0" borderId="15" xfId="0" applyFont="1" applyBorder="1"/>
    <xf numFmtId="0" fontId="24" fillId="0" borderId="0" xfId="5" applyFont="1" applyAlignment="1" applyProtection="1">
      <alignment horizontal="center" vertical="top"/>
    </xf>
    <xf numFmtId="0" fontId="24" fillId="0" borderId="0" xfId="0" applyFont="1"/>
    <xf numFmtId="164" fontId="24" fillId="0" borderId="0" xfId="5" applyNumberFormat="1" applyFont="1"/>
    <xf numFmtId="164" fontId="24" fillId="0" borderId="0" xfId="0" applyNumberFormat="1" applyFont="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164" fontId="0" fillId="0" borderId="7" xfId="1" applyFont="1" applyBorder="1"/>
    <xf numFmtId="164" fontId="0" fillId="0" borderId="5" xfId="1" applyFont="1" applyBorder="1"/>
    <xf numFmtId="10" fontId="0" fillId="0" borderId="1" xfId="0" applyNumberFormat="1" applyBorder="1"/>
    <xf numFmtId="0" fontId="13" fillId="0" borderId="0" xfId="0" applyFont="1"/>
    <xf numFmtId="164" fontId="11" fillId="6" borderId="6" xfId="4" applyNumberFormat="1" applyAlignment="1">
      <alignment horizontal="left"/>
    </xf>
    <xf numFmtId="164" fontId="25" fillId="6" borderId="6" xfId="4" applyNumberFormat="1" applyFont="1" applyAlignment="1">
      <alignment horizontal="left"/>
    </xf>
    <xf numFmtId="0" fontId="25" fillId="0" borderId="0" xfId="0" applyFont="1"/>
    <xf numFmtId="0" fontId="26" fillId="0" borderId="0" xfId="0" applyFont="1"/>
    <xf numFmtId="2" fontId="11" fillId="6" borderId="6" xfId="4" applyNumberFormat="1"/>
    <xf numFmtId="1" fontId="11" fillId="0" borderId="0" xfId="4" applyNumberFormat="1" applyFill="1" applyBorder="1"/>
    <xf numFmtId="164" fontId="11" fillId="6" borderId="6" xfId="1" applyFont="1" applyFill="1" applyBorder="1"/>
    <xf numFmtId="164" fontId="11" fillId="6" borderId="19" xfId="1" applyFont="1" applyFill="1" applyBorder="1"/>
    <xf numFmtId="164" fontId="0" fillId="0" borderId="18" xfId="1" applyFont="1" applyBorder="1"/>
    <xf numFmtId="164" fontId="0" fillId="0" borderId="0" xfId="1" applyFont="1" applyBorder="1" applyAlignment="1">
      <alignment horizontal="right"/>
    </xf>
    <xf numFmtId="168" fontId="0" fillId="0" borderId="0" xfId="0" applyNumberFormat="1" applyAlignment="1">
      <alignment horizontal="right"/>
    </xf>
    <xf numFmtId="164" fontId="7" fillId="6" borderId="3" xfId="1" applyFont="1" applyFill="1" applyBorder="1"/>
    <xf numFmtId="164" fontId="1" fillId="0" borderId="1" xfId="1" applyFont="1" applyBorder="1"/>
    <xf numFmtId="10" fontId="0" fillId="0" borderId="0" xfId="0" applyNumberFormat="1" applyBorder="1"/>
    <xf numFmtId="0" fontId="19" fillId="4" borderId="18" xfId="0" applyFont="1" applyFill="1" applyBorder="1"/>
    <xf numFmtId="0" fontId="27" fillId="0" borderId="0" xfId="6"/>
    <xf numFmtId="165" fontId="0" fillId="0" borderId="0" xfId="1" applyNumberFormat="1" applyFont="1" applyFill="1"/>
    <xf numFmtId="0" fontId="1" fillId="0" borderId="0" xfId="0" applyFont="1" applyFill="1" applyBorder="1"/>
    <xf numFmtId="164" fontId="5" fillId="3" borderId="28" xfId="1" applyFont="1" applyFill="1" applyBorder="1"/>
    <xf numFmtId="164" fontId="7" fillId="6" borderId="1" xfId="3" applyNumberFormat="1" applyBorder="1"/>
    <xf numFmtId="0" fontId="1" fillId="0" borderId="1" xfId="0" quotePrefix="1" applyFont="1" applyBorder="1"/>
    <xf numFmtId="0" fontId="1" fillId="9" borderId="0" xfId="0" applyFont="1" applyFill="1" applyBorder="1" applyAlignment="1">
      <alignment horizontal="right"/>
    </xf>
    <xf numFmtId="0" fontId="0" fillId="9" borderId="0" xfId="0" applyFill="1" applyBorder="1"/>
    <xf numFmtId="168" fontId="0" fillId="9" borderId="0" xfId="0" applyNumberFormat="1" applyFill="1" applyBorder="1"/>
    <xf numFmtId="9" fontId="0" fillId="9" borderId="0" xfId="2" applyFont="1" applyFill="1" applyBorder="1"/>
    <xf numFmtId="164" fontId="0" fillId="0" borderId="0" xfId="0" applyNumberFormat="1" applyFill="1" applyBorder="1"/>
    <xf numFmtId="164" fontId="0" fillId="4" borderId="0" xfId="0" applyNumberFormat="1" applyFill="1"/>
    <xf numFmtId="168" fontId="0" fillId="4" borderId="0" xfId="0" applyNumberFormat="1" applyFill="1"/>
    <xf numFmtId="0" fontId="0" fillId="0" borderId="0" xfId="0" applyAlignment="1">
      <alignment wrapText="1"/>
    </xf>
    <xf numFmtId="0" fontId="1" fillId="9" borderId="0" xfId="0" applyFont="1" applyFill="1" applyBorder="1" applyAlignment="1">
      <alignment horizontal="left"/>
    </xf>
    <xf numFmtId="170" fontId="0" fillId="0" borderId="0" xfId="0" applyNumberFormat="1"/>
  </cellXfs>
  <cellStyles count="7">
    <cellStyle name="Berekening" xfId="4" builtinId="22"/>
    <cellStyle name="Hyperlink" xfId="6" builtinId="8"/>
    <cellStyle name="Komma" xfId="1" builtinId="3"/>
    <cellStyle name="Procent" xfId="2" builtinId="5"/>
    <cellStyle name="Standaard" xfId="0" builtinId="0"/>
    <cellStyle name="Standaard 2" xfId="5" xr:uid="{6E152903-8162-4278-B23B-3833451E967B}"/>
    <cellStyle name="Uitvoer" xfId="3" builtin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a:t>Nodige gewerkte uren in functie van uurtarief</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cat>
            <c:numRef>
              <c:f>Kostendekking!$C$9:$C$49</c:f>
              <c:numCache>
                <c:formatCode>General</c:formatCode>
                <c:ptCount val="41"/>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pt idx="36">
                  <c:v>81</c:v>
                </c:pt>
                <c:pt idx="37">
                  <c:v>82</c:v>
                </c:pt>
                <c:pt idx="38">
                  <c:v>83</c:v>
                </c:pt>
                <c:pt idx="39">
                  <c:v>84</c:v>
                </c:pt>
                <c:pt idx="40">
                  <c:v>85</c:v>
                </c:pt>
              </c:numCache>
            </c:numRef>
          </c:cat>
          <c:val>
            <c:numRef>
              <c:f>Kostendekking!$G$9:$G$49</c:f>
              <c:numCache>
                <c:formatCode>_-* #,##0.00\ _€_-;\-* #,##0.00\ _€_-;_-* "-"??\ _€_-;_-@_-</c:formatCode>
                <c:ptCount val="41"/>
                <c:pt idx="0">
                  <c:v>60.761421530977984</c:v>
                </c:pt>
                <c:pt idx="1">
                  <c:v>59.440521062913234</c:v>
                </c:pt>
                <c:pt idx="2">
                  <c:v>58.175829125404448</c:v>
                </c:pt>
                <c:pt idx="3">
                  <c:v>56.963832685291855</c:v>
                </c:pt>
                <c:pt idx="4">
                  <c:v>55.801305487632831</c:v>
                </c:pt>
                <c:pt idx="5">
                  <c:v>54.685279377880178</c:v>
                </c:pt>
                <c:pt idx="6">
                  <c:v>53.613018997921749</c:v>
                </c:pt>
                <c:pt idx="7">
                  <c:v>52.581999401807863</c:v>
                </c:pt>
                <c:pt idx="8">
                  <c:v>51.589886205547337</c:v>
                </c:pt>
                <c:pt idx="9">
                  <c:v>50.634517942481651</c:v>
                </c:pt>
                <c:pt idx="10">
                  <c:v>49.713890343527432</c:v>
                </c:pt>
                <c:pt idx="11">
                  <c:v>48.826142301678736</c:v>
                </c:pt>
                <c:pt idx="12">
                  <c:v>47.969543313929975</c:v>
                </c:pt>
                <c:pt idx="13">
                  <c:v>47.142482222310498</c:v>
                </c:pt>
                <c:pt idx="14">
                  <c:v>46.343457099898458</c:v>
                </c:pt>
                <c:pt idx="15">
                  <c:v>45.571066148233484</c:v>
                </c:pt>
                <c:pt idx="16">
                  <c:v>44.823999490065717</c:v>
                </c:pt>
                <c:pt idx="17">
                  <c:v>44.101031756354985</c:v>
                </c:pt>
                <c:pt idx="18">
                  <c:v>43.401015379269978</c:v>
                </c:pt>
                <c:pt idx="19">
                  <c:v>42.72287451396889</c:v>
                </c:pt>
                <c:pt idx="20">
                  <c:v>42.065599521446295</c:v>
                </c:pt>
                <c:pt idx="21">
                  <c:v>41.428241952939537</c:v>
                </c:pt>
                <c:pt idx="22">
                  <c:v>40.809909983492673</c:v>
                </c:pt>
                <c:pt idx="23">
                  <c:v>40.209764248441303</c:v>
                </c:pt>
                <c:pt idx="24">
                  <c:v>39.627014041942161</c:v>
                </c:pt>
                <c:pt idx="25">
                  <c:v>39.060913841342987</c:v>
                </c:pt>
                <c:pt idx="26">
                  <c:v>38.51076012526773</c:v>
                </c:pt>
                <c:pt idx="27">
                  <c:v>37.975888456861234</c:v>
                </c:pt>
                <c:pt idx="28">
                  <c:v>37.455670806767245</c:v>
                </c:pt>
                <c:pt idx="29">
                  <c:v>36.949513093162281</c:v>
                </c:pt>
                <c:pt idx="30">
                  <c:v>36.45685291858679</c:v>
                </c:pt>
                <c:pt idx="31">
                  <c:v>35.977157485447485</c:v>
                </c:pt>
                <c:pt idx="32">
                  <c:v>35.509921673948163</c:v>
                </c:pt>
                <c:pt idx="33">
                  <c:v>35.054666267871909</c:v>
                </c:pt>
                <c:pt idx="34">
                  <c:v>34.610936315114039</c:v>
                </c:pt>
                <c:pt idx="35">
                  <c:v>34.178299611175113</c:v>
                </c:pt>
                <c:pt idx="36">
                  <c:v>33.756345294987767</c:v>
                </c:pt>
                <c:pt idx="37">
                  <c:v>33.344682547487913</c:v>
                </c:pt>
                <c:pt idx="38">
                  <c:v>32.942939384265166</c:v>
                </c:pt>
                <c:pt idx="39">
                  <c:v>32.550761534452491</c:v>
                </c:pt>
                <c:pt idx="40">
                  <c:v>32.167811398753045</c:v>
                </c:pt>
              </c:numCache>
            </c:numRef>
          </c:val>
          <c:smooth val="0"/>
          <c:extLst>
            <c:ext xmlns:c16="http://schemas.microsoft.com/office/drawing/2014/chart" uri="{C3380CC4-5D6E-409C-BE32-E72D297353CC}">
              <c16:uniqueId val="{00000000-4899-42D4-A331-6624B102879A}"/>
            </c:ext>
          </c:extLst>
        </c:ser>
        <c:dLbls>
          <c:showLegendKey val="0"/>
          <c:showVal val="0"/>
          <c:showCatName val="0"/>
          <c:showSerName val="0"/>
          <c:showPercent val="0"/>
          <c:showBubbleSize val="0"/>
        </c:dLbls>
        <c:smooth val="0"/>
        <c:axId val="298631696"/>
        <c:axId val="298627104"/>
      </c:lineChart>
      <c:catAx>
        <c:axId val="2986316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98627104"/>
        <c:crosses val="autoZero"/>
        <c:auto val="1"/>
        <c:lblAlgn val="ctr"/>
        <c:lblOffset val="100"/>
        <c:noMultiLvlLbl val="0"/>
      </c:catAx>
      <c:valAx>
        <c:axId val="298627104"/>
        <c:scaling>
          <c:orientation val="minMax"/>
        </c:scaling>
        <c:delete val="0"/>
        <c:axPos val="l"/>
        <c:majorGridlines>
          <c:spPr>
            <a:ln w="9525" cap="flat" cmpd="sng" algn="ctr">
              <a:solidFill>
                <a:schemeClr val="tx1">
                  <a:lumMod val="15000"/>
                  <a:lumOff val="85000"/>
                </a:schemeClr>
              </a:solidFill>
              <a:round/>
            </a:ln>
            <a:effectLst/>
          </c:spPr>
        </c:majorGridlines>
        <c:numFmt formatCode="_-* #,##0.00\ _€_-;\-* #,##0.00\ _€_-;_-* &quot;-&quot;??\ _€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986316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jpg"/></Relationships>
</file>

<file path=xl/drawings/_rels/drawing1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3.png"/><Relationship Id="rId1" Type="http://schemas.openxmlformats.org/officeDocument/2006/relationships/image" Target="../media/image12.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3" Type="http://schemas.openxmlformats.org/officeDocument/2006/relationships/image" Target="../media/image4.png"/><Relationship Id="rId7" Type="http://schemas.openxmlformats.org/officeDocument/2006/relationships/image" Target="../media/image9.png"/><Relationship Id="rId2" Type="http://schemas.openxmlformats.org/officeDocument/2006/relationships/image" Target="../media/image1.jpg"/><Relationship Id="rId1" Type="http://schemas.openxmlformats.org/officeDocument/2006/relationships/image" Target="../media/image5.png"/><Relationship Id="rId6" Type="http://schemas.openxmlformats.org/officeDocument/2006/relationships/image" Target="../media/image8.png"/><Relationship Id="rId5" Type="http://schemas.openxmlformats.org/officeDocument/2006/relationships/image" Target="../media/image7.png"/><Relationship Id="rId4" Type="http://schemas.openxmlformats.org/officeDocument/2006/relationships/image" Target="../media/image6.png"/></Relationships>
</file>

<file path=xl/drawings/_rels/drawing6.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image" Target="../media/image4.png"/><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2" Type="http://schemas.openxmlformats.org/officeDocument/2006/relationships/image" Target="../media/image11.png"/><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2" Type="http://schemas.openxmlformats.org/officeDocument/2006/relationships/image" Target="../media/image11.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3</xdr:col>
      <xdr:colOff>354382</xdr:colOff>
      <xdr:row>0</xdr:row>
      <xdr:rowOff>85237</xdr:rowOff>
    </xdr:from>
    <xdr:to>
      <xdr:col>4</xdr:col>
      <xdr:colOff>216634</xdr:colOff>
      <xdr:row>2</xdr:row>
      <xdr:rowOff>143240</xdr:rowOff>
    </xdr:to>
    <xdr:pic>
      <xdr:nvPicPr>
        <xdr:cNvPr id="2" name="Afbeelding 1" descr="Afbeelding met tekst, illustratie&#10;&#10;Automatisch gegenereerde beschrijving">
          <a:extLst>
            <a:ext uri="{FF2B5EF4-FFF2-40B4-BE49-F238E27FC236}">
              <a16:creationId xmlns:a16="http://schemas.microsoft.com/office/drawing/2014/main" id="{82D31A4A-AED0-4238-A73F-513ABBF1E63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56805" y="85237"/>
          <a:ext cx="1206254" cy="384540"/>
        </a:xfrm>
        <a:prstGeom prst="rect">
          <a:avLst/>
        </a:prstGeom>
      </xdr:spPr>
    </xdr:pic>
    <xdr:clientData/>
  </xdr:twoCellAnchor>
  <xdr:twoCellAnchor editAs="oneCell">
    <xdr:from>
      <xdr:col>1</xdr:col>
      <xdr:colOff>247651</xdr:colOff>
      <xdr:row>0</xdr:row>
      <xdr:rowOff>75711</xdr:rowOff>
    </xdr:from>
    <xdr:to>
      <xdr:col>3</xdr:col>
      <xdr:colOff>263769</xdr:colOff>
      <xdr:row>2</xdr:row>
      <xdr:rowOff>154450</xdr:rowOff>
    </xdr:to>
    <xdr:pic>
      <xdr:nvPicPr>
        <xdr:cNvPr id="3" name="Afbeelding 2">
          <a:extLst>
            <a:ext uri="{FF2B5EF4-FFF2-40B4-BE49-F238E27FC236}">
              <a16:creationId xmlns:a16="http://schemas.microsoft.com/office/drawing/2014/main" id="{9763D153-1AA2-41F8-A3FF-CE82E598BF5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7651" y="75711"/>
          <a:ext cx="1818541" cy="40845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280870</xdr:colOff>
      <xdr:row>0</xdr:row>
      <xdr:rowOff>120895</xdr:rowOff>
    </xdr:from>
    <xdr:to>
      <xdr:col>4</xdr:col>
      <xdr:colOff>63747</xdr:colOff>
      <xdr:row>2</xdr:row>
      <xdr:rowOff>102698</xdr:rowOff>
    </xdr:to>
    <xdr:pic>
      <xdr:nvPicPr>
        <xdr:cNvPr id="2" name="Afbeelding 1" descr="Afbeelding met tekst, illustratie&#10;&#10;Automatisch gegenereerde beschrijving">
          <a:extLst>
            <a:ext uri="{FF2B5EF4-FFF2-40B4-BE49-F238E27FC236}">
              <a16:creationId xmlns:a16="http://schemas.microsoft.com/office/drawing/2014/main" id="{7AA589FF-6440-4A03-84BE-F98C5DCA469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39870" y="120895"/>
          <a:ext cx="1214802" cy="308828"/>
        </a:xfrm>
        <a:prstGeom prst="rect">
          <a:avLst/>
        </a:prstGeom>
      </xdr:spPr>
    </xdr:pic>
    <xdr:clientData/>
  </xdr:twoCellAnchor>
  <xdr:twoCellAnchor editAs="oneCell">
    <xdr:from>
      <xdr:col>0</xdr:col>
      <xdr:colOff>254978</xdr:colOff>
      <xdr:row>0</xdr:row>
      <xdr:rowOff>112346</xdr:rowOff>
    </xdr:from>
    <xdr:to>
      <xdr:col>1</xdr:col>
      <xdr:colOff>1455371</xdr:colOff>
      <xdr:row>2</xdr:row>
      <xdr:rowOff>114885</xdr:rowOff>
    </xdr:to>
    <xdr:pic>
      <xdr:nvPicPr>
        <xdr:cNvPr id="3" name="Afbeelding 2">
          <a:extLst>
            <a:ext uri="{FF2B5EF4-FFF2-40B4-BE49-F238E27FC236}">
              <a16:creationId xmlns:a16="http://schemas.microsoft.com/office/drawing/2014/main" id="{2972AAF8-5D65-4FCC-8228-A8BC8022C6C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4978" y="112346"/>
          <a:ext cx="1813168" cy="37083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572970</xdr:colOff>
      <xdr:row>0</xdr:row>
      <xdr:rowOff>133595</xdr:rowOff>
    </xdr:from>
    <xdr:to>
      <xdr:col>4</xdr:col>
      <xdr:colOff>1019422</xdr:colOff>
      <xdr:row>2</xdr:row>
      <xdr:rowOff>152400</xdr:rowOff>
    </xdr:to>
    <xdr:pic>
      <xdr:nvPicPr>
        <xdr:cNvPr id="2" name="Afbeelding 1" descr="Afbeelding met tekst, illustratie&#10;&#10;Automatisch gegenereerde beschrijving">
          <a:extLst>
            <a:ext uri="{FF2B5EF4-FFF2-40B4-BE49-F238E27FC236}">
              <a16:creationId xmlns:a16="http://schemas.microsoft.com/office/drawing/2014/main" id="{2AF8E4DD-6181-4667-9CDE-1226D7B1475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2720" y="133595"/>
          <a:ext cx="1224327" cy="349005"/>
        </a:xfrm>
        <a:prstGeom prst="rect">
          <a:avLst/>
        </a:prstGeom>
      </xdr:spPr>
    </xdr:pic>
    <xdr:clientData/>
  </xdr:twoCellAnchor>
  <xdr:twoCellAnchor editAs="oneCell">
    <xdr:from>
      <xdr:col>0</xdr:col>
      <xdr:colOff>254978</xdr:colOff>
      <xdr:row>0</xdr:row>
      <xdr:rowOff>112346</xdr:rowOff>
    </xdr:from>
    <xdr:to>
      <xdr:col>3</xdr:col>
      <xdr:colOff>258396</xdr:colOff>
      <xdr:row>2</xdr:row>
      <xdr:rowOff>142875</xdr:rowOff>
    </xdr:to>
    <xdr:pic>
      <xdr:nvPicPr>
        <xdr:cNvPr id="3" name="Afbeelding 2">
          <a:extLst>
            <a:ext uri="{FF2B5EF4-FFF2-40B4-BE49-F238E27FC236}">
              <a16:creationId xmlns:a16="http://schemas.microsoft.com/office/drawing/2014/main" id="{89F5B317-1A39-4928-BD40-633F8FACF51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4978" y="112346"/>
          <a:ext cx="1809993" cy="357554"/>
        </a:xfrm>
        <a:prstGeom prst="rect">
          <a:avLst/>
        </a:prstGeom>
      </xdr:spPr>
    </xdr:pic>
    <xdr:clientData/>
  </xdr:twoCellAnchor>
  <xdr:twoCellAnchor>
    <xdr:from>
      <xdr:col>9</xdr:col>
      <xdr:colOff>15875</xdr:colOff>
      <xdr:row>8</xdr:row>
      <xdr:rowOff>169862</xdr:rowOff>
    </xdr:from>
    <xdr:to>
      <xdr:col>21</xdr:col>
      <xdr:colOff>428625</xdr:colOff>
      <xdr:row>29</xdr:row>
      <xdr:rowOff>0</xdr:rowOff>
    </xdr:to>
    <xdr:graphicFrame macro="">
      <xdr:nvGraphicFramePr>
        <xdr:cNvPr id="4" name="Grafiek 3">
          <a:extLst>
            <a:ext uri="{FF2B5EF4-FFF2-40B4-BE49-F238E27FC236}">
              <a16:creationId xmlns:a16="http://schemas.microsoft.com/office/drawing/2014/main" id="{2EF678F4-78BE-4377-B18D-B40FEEFBE45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966670</xdr:colOff>
      <xdr:row>0</xdr:row>
      <xdr:rowOff>114545</xdr:rowOff>
    </xdr:from>
    <xdr:to>
      <xdr:col>2</xdr:col>
      <xdr:colOff>2178297</xdr:colOff>
      <xdr:row>2</xdr:row>
      <xdr:rowOff>131273</xdr:rowOff>
    </xdr:to>
    <xdr:pic>
      <xdr:nvPicPr>
        <xdr:cNvPr id="2" name="Afbeelding 1" descr="Afbeelding met tekst, illustratie&#10;&#10;Automatisch gegenereerde beschrijving">
          <a:extLst>
            <a:ext uri="{FF2B5EF4-FFF2-40B4-BE49-F238E27FC236}">
              <a16:creationId xmlns:a16="http://schemas.microsoft.com/office/drawing/2014/main" id="{2C067D3F-4F18-4911-9D56-A41AC1595F7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82939" y="114545"/>
          <a:ext cx="1208452" cy="346440"/>
        </a:xfrm>
        <a:prstGeom prst="rect">
          <a:avLst/>
        </a:prstGeom>
      </xdr:spPr>
    </xdr:pic>
    <xdr:clientData/>
  </xdr:twoCellAnchor>
  <xdr:twoCellAnchor editAs="oneCell">
    <xdr:from>
      <xdr:col>0</xdr:col>
      <xdr:colOff>254978</xdr:colOff>
      <xdr:row>0</xdr:row>
      <xdr:rowOff>112346</xdr:rowOff>
    </xdr:from>
    <xdr:to>
      <xdr:col>2</xdr:col>
      <xdr:colOff>845771</xdr:colOff>
      <xdr:row>2</xdr:row>
      <xdr:rowOff>152985</xdr:rowOff>
    </xdr:to>
    <xdr:pic>
      <xdr:nvPicPr>
        <xdr:cNvPr id="3" name="Afbeelding 2">
          <a:extLst>
            <a:ext uri="{FF2B5EF4-FFF2-40B4-BE49-F238E27FC236}">
              <a16:creationId xmlns:a16="http://schemas.microsoft.com/office/drawing/2014/main" id="{9661CF5A-9823-47CD-874B-4DC8F09D338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4978" y="112346"/>
          <a:ext cx="1813412" cy="37035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1753336</xdr:colOff>
      <xdr:row>0</xdr:row>
      <xdr:rowOff>126024</xdr:rowOff>
    </xdr:from>
    <xdr:to>
      <xdr:col>3</xdr:col>
      <xdr:colOff>9038</xdr:colOff>
      <xdr:row>2</xdr:row>
      <xdr:rowOff>145439</xdr:rowOff>
    </xdr:to>
    <xdr:pic>
      <xdr:nvPicPr>
        <xdr:cNvPr id="4" name="Afbeelding 3" descr="Afbeelding met tekst, illustratie&#10;&#10;Automatisch gegenereerde beschrijving">
          <a:extLst>
            <a:ext uri="{FF2B5EF4-FFF2-40B4-BE49-F238E27FC236}">
              <a16:creationId xmlns:a16="http://schemas.microsoft.com/office/drawing/2014/main" id="{857EF79E-83C3-40DF-8A8F-39488FD4EA4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62936" y="126024"/>
          <a:ext cx="1211627" cy="340090"/>
        </a:xfrm>
        <a:prstGeom prst="rect">
          <a:avLst/>
        </a:prstGeom>
      </xdr:spPr>
    </xdr:pic>
    <xdr:clientData/>
  </xdr:twoCellAnchor>
  <xdr:twoCellAnchor editAs="oneCell">
    <xdr:from>
      <xdr:col>1</xdr:col>
      <xdr:colOff>434975</xdr:colOff>
      <xdr:row>0</xdr:row>
      <xdr:rowOff>123825</xdr:rowOff>
    </xdr:from>
    <xdr:to>
      <xdr:col>2</xdr:col>
      <xdr:colOff>1638787</xdr:colOff>
      <xdr:row>2</xdr:row>
      <xdr:rowOff>170326</xdr:rowOff>
    </xdr:to>
    <xdr:pic>
      <xdr:nvPicPr>
        <xdr:cNvPr id="5" name="Afbeelding 4">
          <a:extLst>
            <a:ext uri="{FF2B5EF4-FFF2-40B4-BE49-F238E27FC236}">
              <a16:creationId xmlns:a16="http://schemas.microsoft.com/office/drawing/2014/main" id="{2472BB3C-0ED6-4425-947C-3D744E6137F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34975" y="123825"/>
          <a:ext cx="1813412" cy="37035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1658086</xdr:colOff>
      <xdr:row>0</xdr:row>
      <xdr:rowOff>135549</xdr:rowOff>
    </xdr:from>
    <xdr:to>
      <xdr:col>2</xdr:col>
      <xdr:colOff>2869713</xdr:colOff>
      <xdr:row>2</xdr:row>
      <xdr:rowOff>154964</xdr:rowOff>
    </xdr:to>
    <xdr:pic>
      <xdr:nvPicPr>
        <xdr:cNvPr id="4" name="Afbeelding 3" descr="Afbeelding met tekst, illustratie&#10;&#10;Automatisch gegenereerde beschrijving">
          <a:extLst>
            <a:ext uri="{FF2B5EF4-FFF2-40B4-BE49-F238E27FC236}">
              <a16:creationId xmlns:a16="http://schemas.microsoft.com/office/drawing/2014/main" id="{4F4332EA-7812-43B9-B782-A22A8720564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67686" y="135549"/>
          <a:ext cx="1208452" cy="343265"/>
        </a:xfrm>
        <a:prstGeom prst="rect">
          <a:avLst/>
        </a:prstGeom>
      </xdr:spPr>
    </xdr:pic>
    <xdr:clientData/>
  </xdr:twoCellAnchor>
  <xdr:twoCellAnchor editAs="oneCell">
    <xdr:from>
      <xdr:col>1</xdr:col>
      <xdr:colOff>342900</xdr:colOff>
      <xdr:row>0</xdr:row>
      <xdr:rowOff>133350</xdr:rowOff>
    </xdr:from>
    <xdr:to>
      <xdr:col>2</xdr:col>
      <xdr:colOff>1543537</xdr:colOff>
      <xdr:row>3</xdr:row>
      <xdr:rowOff>2051</xdr:rowOff>
    </xdr:to>
    <xdr:pic>
      <xdr:nvPicPr>
        <xdr:cNvPr id="5" name="Afbeelding 4">
          <a:extLst>
            <a:ext uri="{FF2B5EF4-FFF2-40B4-BE49-F238E27FC236}">
              <a16:creationId xmlns:a16="http://schemas.microsoft.com/office/drawing/2014/main" id="{FBCBCB49-3D33-46DF-89FA-0780A5A288C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42900" y="133350"/>
          <a:ext cx="1810237" cy="37352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38100</xdr:colOff>
      <xdr:row>111</xdr:row>
      <xdr:rowOff>25009</xdr:rowOff>
    </xdr:from>
    <xdr:to>
      <xdr:col>3</xdr:col>
      <xdr:colOff>2324100</xdr:colOff>
      <xdr:row>125</xdr:row>
      <xdr:rowOff>124445</xdr:rowOff>
    </xdr:to>
    <xdr:pic>
      <xdr:nvPicPr>
        <xdr:cNvPr id="2" name="Afbeelding 1">
          <a:extLst>
            <a:ext uri="{FF2B5EF4-FFF2-40B4-BE49-F238E27FC236}">
              <a16:creationId xmlns:a16="http://schemas.microsoft.com/office/drawing/2014/main" id="{6B0C9793-4015-4969-AC98-57189DE67A59}"/>
            </a:ext>
          </a:extLst>
        </xdr:cNvPr>
        <xdr:cNvPicPr>
          <a:picLocks noChangeAspect="1"/>
        </xdr:cNvPicPr>
      </xdr:nvPicPr>
      <xdr:blipFill>
        <a:blip xmlns:r="http://schemas.openxmlformats.org/officeDocument/2006/relationships" r:embed="rId1"/>
        <a:stretch>
          <a:fillRect/>
        </a:stretch>
      </xdr:blipFill>
      <xdr:spPr>
        <a:xfrm>
          <a:off x="387350" y="22535759"/>
          <a:ext cx="4152900" cy="2671186"/>
        </a:xfrm>
        <a:prstGeom prst="rect">
          <a:avLst/>
        </a:prstGeom>
      </xdr:spPr>
    </xdr:pic>
    <xdr:clientData/>
  </xdr:twoCellAnchor>
  <xdr:twoCellAnchor>
    <xdr:from>
      <xdr:col>2</xdr:col>
      <xdr:colOff>19049</xdr:colOff>
      <xdr:row>119</xdr:row>
      <xdr:rowOff>3174</xdr:rowOff>
    </xdr:from>
    <xdr:to>
      <xdr:col>3</xdr:col>
      <xdr:colOff>2314574</xdr:colOff>
      <xdr:row>120</xdr:row>
      <xdr:rowOff>114299</xdr:rowOff>
    </xdr:to>
    <xdr:sp macro="" textlink="">
      <xdr:nvSpPr>
        <xdr:cNvPr id="4" name="Rechthoek 3">
          <a:extLst>
            <a:ext uri="{FF2B5EF4-FFF2-40B4-BE49-F238E27FC236}">
              <a16:creationId xmlns:a16="http://schemas.microsoft.com/office/drawing/2014/main" id="{09790BEC-8758-4E48-AD97-EA8E52C531AE}"/>
            </a:ext>
          </a:extLst>
        </xdr:cNvPr>
        <xdr:cNvSpPr/>
      </xdr:nvSpPr>
      <xdr:spPr>
        <a:xfrm>
          <a:off x="638174" y="25415874"/>
          <a:ext cx="4162425" cy="29210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BE" sz="1100"/>
        </a:p>
      </xdr:txBody>
    </xdr:sp>
    <xdr:clientData/>
  </xdr:twoCellAnchor>
  <xdr:twoCellAnchor editAs="oneCell">
    <xdr:from>
      <xdr:col>2</xdr:col>
      <xdr:colOff>1829536</xdr:colOff>
      <xdr:row>1</xdr:row>
      <xdr:rowOff>2199</xdr:rowOff>
    </xdr:from>
    <xdr:to>
      <xdr:col>3</xdr:col>
      <xdr:colOff>1174263</xdr:colOff>
      <xdr:row>2</xdr:row>
      <xdr:rowOff>161314</xdr:rowOff>
    </xdr:to>
    <xdr:pic>
      <xdr:nvPicPr>
        <xdr:cNvPr id="7" name="Afbeelding 6" descr="Afbeelding met tekst, illustratie&#10;&#10;Automatisch gegenereerde beschrijving">
          <a:extLst>
            <a:ext uri="{FF2B5EF4-FFF2-40B4-BE49-F238E27FC236}">
              <a16:creationId xmlns:a16="http://schemas.microsoft.com/office/drawing/2014/main" id="{00AB26C3-92A5-4221-ADF4-BE3F6C1FF7B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81961" y="145074"/>
          <a:ext cx="1208452" cy="343265"/>
        </a:xfrm>
        <a:prstGeom prst="rect">
          <a:avLst/>
        </a:prstGeom>
      </xdr:spPr>
    </xdr:pic>
    <xdr:clientData/>
  </xdr:twoCellAnchor>
  <xdr:twoCellAnchor editAs="oneCell">
    <xdr:from>
      <xdr:col>1</xdr:col>
      <xdr:colOff>257175</xdr:colOff>
      <xdr:row>1</xdr:row>
      <xdr:rowOff>0</xdr:rowOff>
    </xdr:from>
    <xdr:to>
      <xdr:col>2</xdr:col>
      <xdr:colOff>1714987</xdr:colOff>
      <xdr:row>3</xdr:row>
      <xdr:rowOff>11576</xdr:rowOff>
    </xdr:to>
    <xdr:pic>
      <xdr:nvPicPr>
        <xdr:cNvPr id="8" name="Afbeelding 7">
          <a:extLst>
            <a:ext uri="{FF2B5EF4-FFF2-40B4-BE49-F238E27FC236}">
              <a16:creationId xmlns:a16="http://schemas.microsoft.com/office/drawing/2014/main" id="{472F5A01-FB20-407E-962F-3144C183025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7175" y="142875"/>
          <a:ext cx="1810237" cy="370351"/>
        </a:xfrm>
        <a:prstGeom prst="rect">
          <a:avLst/>
        </a:prstGeom>
      </xdr:spPr>
    </xdr:pic>
    <xdr:clientData/>
  </xdr:twoCellAnchor>
  <xdr:twoCellAnchor editAs="oneCell">
    <xdr:from>
      <xdr:col>7</xdr:col>
      <xdr:colOff>349250</xdr:colOff>
      <xdr:row>148</xdr:row>
      <xdr:rowOff>25400</xdr:rowOff>
    </xdr:from>
    <xdr:to>
      <xdr:col>11</xdr:col>
      <xdr:colOff>428114</xdr:colOff>
      <xdr:row>163</xdr:row>
      <xdr:rowOff>59982</xdr:rowOff>
    </xdr:to>
    <xdr:pic>
      <xdr:nvPicPr>
        <xdr:cNvPr id="3" name="Afbeelding 2">
          <a:extLst>
            <a:ext uri="{FF2B5EF4-FFF2-40B4-BE49-F238E27FC236}">
              <a16:creationId xmlns:a16="http://schemas.microsoft.com/office/drawing/2014/main" id="{8B560774-808C-412F-8862-37655F5F60F4}"/>
            </a:ext>
          </a:extLst>
        </xdr:cNvPr>
        <xdr:cNvPicPr>
          <a:picLocks noChangeAspect="1"/>
        </xdr:cNvPicPr>
      </xdr:nvPicPr>
      <xdr:blipFill>
        <a:blip xmlns:r="http://schemas.openxmlformats.org/officeDocument/2006/relationships" r:embed="rId4"/>
        <a:stretch>
          <a:fillRect/>
        </a:stretch>
      </xdr:blipFill>
      <xdr:spPr>
        <a:xfrm>
          <a:off x="9178925" y="30229175"/>
          <a:ext cx="4088889" cy="2749207"/>
        </a:xfrm>
        <a:prstGeom prst="rect">
          <a:avLst/>
        </a:prstGeom>
        <a:ln>
          <a:noFill/>
        </a:ln>
        <a:effectLst>
          <a:outerShdw blurRad="292100" dist="139700" dir="2700000" algn="tl" rotWithShape="0">
            <a:srgbClr val="333333">
              <a:alpha val="65000"/>
            </a:srgbClr>
          </a:outerShdw>
        </a:effectLst>
      </xdr:spPr>
    </xdr:pic>
    <xdr:clientData/>
  </xdr:twoCellAnchor>
  <xdr:twoCellAnchor editAs="oneCell">
    <xdr:from>
      <xdr:col>2</xdr:col>
      <xdr:colOff>19050</xdr:colOff>
      <xdr:row>143</xdr:row>
      <xdr:rowOff>114300</xdr:rowOff>
    </xdr:from>
    <xdr:to>
      <xdr:col>3</xdr:col>
      <xdr:colOff>990600</xdr:colOff>
      <xdr:row>165</xdr:row>
      <xdr:rowOff>153690</xdr:rowOff>
    </xdr:to>
    <xdr:pic>
      <xdr:nvPicPr>
        <xdr:cNvPr id="5" name="Afbeelding 4">
          <a:extLst>
            <a:ext uri="{FF2B5EF4-FFF2-40B4-BE49-F238E27FC236}">
              <a16:creationId xmlns:a16="http://schemas.microsoft.com/office/drawing/2014/main" id="{F66DE8DD-42A4-4EB2-9D3E-BDEF1828843A}"/>
            </a:ext>
          </a:extLst>
        </xdr:cNvPr>
        <xdr:cNvPicPr>
          <a:picLocks noChangeAspect="1"/>
        </xdr:cNvPicPr>
      </xdr:nvPicPr>
      <xdr:blipFill>
        <a:blip xmlns:r="http://schemas.openxmlformats.org/officeDocument/2006/relationships" r:embed="rId5"/>
        <a:stretch>
          <a:fillRect/>
        </a:stretch>
      </xdr:blipFill>
      <xdr:spPr>
        <a:xfrm>
          <a:off x="638175" y="29051250"/>
          <a:ext cx="2838450" cy="4020841"/>
        </a:xfrm>
        <a:prstGeom prst="rect">
          <a:avLst/>
        </a:prstGeom>
        <a:ln>
          <a:noFill/>
        </a:ln>
        <a:effectLst>
          <a:outerShdw blurRad="292100" dist="139700" dir="2700000" algn="tl" rotWithShape="0">
            <a:srgbClr val="333333">
              <a:alpha val="65000"/>
            </a:srgbClr>
          </a:outerShdw>
        </a:effectLst>
      </xdr:spPr>
    </xdr:pic>
    <xdr:clientData/>
  </xdr:twoCellAnchor>
  <xdr:twoCellAnchor editAs="oneCell">
    <xdr:from>
      <xdr:col>3</xdr:col>
      <xdr:colOff>1168400</xdr:colOff>
      <xdr:row>143</xdr:row>
      <xdr:rowOff>111125</xdr:rowOff>
    </xdr:from>
    <xdr:to>
      <xdr:col>5</xdr:col>
      <xdr:colOff>1314450</xdr:colOff>
      <xdr:row>155</xdr:row>
      <xdr:rowOff>78848</xdr:rowOff>
    </xdr:to>
    <xdr:pic>
      <xdr:nvPicPr>
        <xdr:cNvPr id="6" name="Afbeelding 5">
          <a:extLst>
            <a:ext uri="{FF2B5EF4-FFF2-40B4-BE49-F238E27FC236}">
              <a16:creationId xmlns:a16="http://schemas.microsoft.com/office/drawing/2014/main" id="{1CE946FD-3B95-4440-9BEC-0EFAAD7C2BB3}"/>
            </a:ext>
          </a:extLst>
        </xdr:cNvPr>
        <xdr:cNvPicPr>
          <a:picLocks noChangeAspect="1"/>
        </xdr:cNvPicPr>
      </xdr:nvPicPr>
      <xdr:blipFill>
        <a:blip xmlns:r="http://schemas.openxmlformats.org/officeDocument/2006/relationships" r:embed="rId6"/>
        <a:stretch>
          <a:fillRect/>
        </a:stretch>
      </xdr:blipFill>
      <xdr:spPr>
        <a:xfrm>
          <a:off x="3654425" y="29048075"/>
          <a:ext cx="3803650" cy="2139423"/>
        </a:xfrm>
        <a:prstGeom prst="rect">
          <a:avLst/>
        </a:prstGeom>
        <a:ln>
          <a:noFill/>
        </a:ln>
        <a:effectLst>
          <a:outerShdw blurRad="292100" dist="139700" dir="2700000" algn="tl" rotWithShape="0">
            <a:srgbClr val="333333">
              <a:alpha val="65000"/>
            </a:srgbClr>
          </a:outerShdw>
        </a:effectLst>
      </xdr:spPr>
    </xdr:pic>
    <xdr:clientData/>
  </xdr:twoCellAnchor>
  <xdr:twoCellAnchor editAs="oneCell">
    <xdr:from>
      <xdr:col>8</xdr:col>
      <xdr:colOff>1168400</xdr:colOff>
      <xdr:row>96</xdr:row>
      <xdr:rowOff>76201</xdr:rowOff>
    </xdr:from>
    <xdr:to>
      <xdr:col>14</xdr:col>
      <xdr:colOff>238962</xdr:colOff>
      <xdr:row>106</xdr:row>
      <xdr:rowOff>47625</xdr:rowOff>
    </xdr:to>
    <xdr:pic>
      <xdr:nvPicPr>
        <xdr:cNvPr id="9" name="Afbeelding 8">
          <a:extLst>
            <a:ext uri="{FF2B5EF4-FFF2-40B4-BE49-F238E27FC236}">
              <a16:creationId xmlns:a16="http://schemas.microsoft.com/office/drawing/2014/main" id="{05CA8DCC-5843-4CAB-AD2A-2779A2263FCE}"/>
            </a:ext>
          </a:extLst>
        </xdr:cNvPr>
        <xdr:cNvPicPr>
          <a:picLocks noChangeAspect="1"/>
        </xdr:cNvPicPr>
      </xdr:nvPicPr>
      <xdr:blipFill>
        <a:blip xmlns:r="http://schemas.openxmlformats.org/officeDocument/2006/relationships" r:embed="rId7"/>
        <a:stretch>
          <a:fillRect/>
        </a:stretch>
      </xdr:blipFill>
      <xdr:spPr>
        <a:xfrm>
          <a:off x="10750550" y="20831176"/>
          <a:ext cx="4528840" cy="178117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1715236</xdr:colOff>
      <xdr:row>0</xdr:row>
      <xdr:rowOff>135549</xdr:rowOff>
    </xdr:from>
    <xdr:to>
      <xdr:col>3</xdr:col>
      <xdr:colOff>351938</xdr:colOff>
      <xdr:row>2</xdr:row>
      <xdr:rowOff>154964</xdr:rowOff>
    </xdr:to>
    <xdr:pic>
      <xdr:nvPicPr>
        <xdr:cNvPr id="6" name="Afbeelding 5" descr="Afbeelding met tekst, illustratie&#10;&#10;Automatisch gegenereerde beschrijving">
          <a:extLst>
            <a:ext uri="{FF2B5EF4-FFF2-40B4-BE49-F238E27FC236}">
              <a16:creationId xmlns:a16="http://schemas.microsoft.com/office/drawing/2014/main" id="{9026F987-8274-43D7-B405-579DC236246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86761" y="135549"/>
          <a:ext cx="1208452" cy="343265"/>
        </a:xfrm>
        <a:prstGeom prst="rect">
          <a:avLst/>
        </a:prstGeom>
      </xdr:spPr>
    </xdr:pic>
    <xdr:clientData/>
  </xdr:twoCellAnchor>
  <xdr:twoCellAnchor editAs="oneCell">
    <xdr:from>
      <xdr:col>1</xdr:col>
      <xdr:colOff>190500</xdr:colOff>
      <xdr:row>1</xdr:row>
      <xdr:rowOff>0</xdr:rowOff>
    </xdr:from>
    <xdr:to>
      <xdr:col>2</xdr:col>
      <xdr:colOff>1600687</xdr:colOff>
      <xdr:row>3</xdr:row>
      <xdr:rowOff>11576</xdr:rowOff>
    </xdr:to>
    <xdr:pic>
      <xdr:nvPicPr>
        <xdr:cNvPr id="7" name="Afbeelding 6">
          <a:extLst>
            <a:ext uri="{FF2B5EF4-FFF2-40B4-BE49-F238E27FC236}">
              <a16:creationId xmlns:a16="http://schemas.microsoft.com/office/drawing/2014/main" id="{229FB29F-2CCC-43AC-9E5F-B8014A8D266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61975" y="142875"/>
          <a:ext cx="1810237" cy="373526"/>
        </a:xfrm>
        <a:prstGeom prst="rect">
          <a:avLst/>
        </a:prstGeom>
      </xdr:spPr>
    </xdr:pic>
    <xdr:clientData/>
  </xdr:twoCellAnchor>
  <xdr:twoCellAnchor editAs="oneCell">
    <xdr:from>
      <xdr:col>1</xdr:col>
      <xdr:colOff>606426</xdr:colOff>
      <xdr:row>63</xdr:row>
      <xdr:rowOff>76363</xdr:rowOff>
    </xdr:from>
    <xdr:to>
      <xdr:col>15</xdr:col>
      <xdr:colOff>187326</xdr:colOff>
      <xdr:row>97</xdr:row>
      <xdr:rowOff>18158</xdr:rowOff>
    </xdr:to>
    <xdr:pic>
      <xdr:nvPicPr>
        <xdr:cNvPr id="2" name="Afbeelding 1">
          <a:extLst>
            <a:ext uri="{FF2B5EF4-FFF2-40B4-BE49-F238E27FC236}">
              <a16:creationId xmlns:a16="http://schemas.microsoft.com/office/drawing/2014/main" id="{B10D3387-2918-48C9-AD18-7103769554A2}"/>
            </a:ext>
          </a:extLst>
        </xdr:cNvPr>
        <xdr:cNvPicPr>
          <a:picLocks noChangeAspect="1"/>
        </xdr:cNvPicPr>
      </xdr:nvPicPr>
      <xdr:blipFill>
        <a:blip xmlns:r="http://schemas.openxmlformats.org/officeDocument/2006/relationships" r:embed="rId3"/>
        <a:stretch>
          <a:fillRect/>
        </a:stretch>
      </xdr:blipFill>
      <xdr:spPr>
        <a:xfrm>
          <a:off x="606426" y="11734963"/>
          <a:ext cx="10725150" cy="6094945"/>
        </a:xfrm>
        <a:prstGeom prst="rect">
          <a:avLst/>
        </a:prstGeom>
      </xdr:spPr>
    </xdr:pic>
    <xdr:clientData/>
  </xdr:twoCellAnchor>
  <xdr:twoCellAnchor>
    <xdr:from>
      <xdr:col>6</xdr:col>
      <xdr:colOff>190500</xdr:colOff>
      <xdr:row>82</xdr:row>
      <xdr:rowOff>76200</xdr:rowOff>
    </xdr:from>
    <xdr:to>
      <xdr:col>14</xdr:col>
      <xdr:colOff>19050</xdr:colOff>
      <xdr:row>84</xdr:row>
      <xdr:rowOff>158750</xdr:rowOff>
    </xdr:to>
    <xdr:sp macro="" textlink="">
      <xdr:nvSpPr>
        <xdr:cNvPr id="8" name="Rechthoek 7">
          <a:extLst>
            <a:ext uri="{FF2B5EF4-FFF2-40B4-BE49-F238E27FC236}">
              <a16:creationId xmlns:a16="http://schemas.microsoft.com/office/drawing/2014/main" id="{4C921F48-2D3C-4B6B-920E-198D261ACA20}"/>
            </a:ext>
          </a:extLst>
        </xdr:cNvPr>
        <xdr:cNvSpPr/>
      </xdr:nvSpPr>
      <xdr:spPr>
        <a:xfrm>
          <a:off x="5695950" y="15173325"/>
          <a:ext cx="4857750" cy="444500"/>
        </a:xfrm>
        <a:prstGeom prst="rect">
          <a:avLst/>
        </a:prstGeom>
        <a:no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1829536</xdr:colOff>
      <xdr:row>0</xdr:row>
      <xdr:rowOff>135549</xdr:rowOff>
    </xdr:from>
    <xdr:to>
      <xdr:col>2</xdr:col>
      <xdr:colOff>3037988</xdr:colOff>
      <xdr:row>2</xdr:row>
      <xdr:rowOff>151789</xdr:rowOff>
    </xdr:to>
    <xdr:pic>
      <xdr:nvPicPr>
        <xdr:cNvPr id="4" name="Afbeelding 3" descr="Afbeelding met tekst, illustratie&#10;&#10;Automatisch gegenereerde beschrijving">
          <a:extLst>
            <a:ext uri="{FF2B5EF4-FFF2-40B4-BE49-F238E27FC236}">
              <a16:creationId xmlns:a16="http://schemas.microsoft.com/office/drawing/2014/main" id="{476650B5-D61E-4B8F-984C-D110F1DCC24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81961" y="135549"/>
          <a:ext cx="1208452" cy="340090"/>
        </a:xfrm>
        <a:prstGeom prst="rect">
          <a:avLst/>
        </a:prstGeom>
      </xdr:spPr>
    </xdr:pic>
    <xdr:clientData/>
  </xdr:twoCellAnchor>
  <xdr:twoCellAnchor editAs="oneCell">
    <xdr:from>
      <xdr:col>1</xdr:col>
      <xdr:colOff>257175</xdr:colOff>
      <xdr:row>0</xdr:row>
      <xdr:rowOff>133350</xdr:rowOff>
    </xdr:from>
    <xdr:to>
      <xdr:col>2</xdr:col>
      <xdr:colOff>1714987</xdr:colOff>
      <xdr:row>3</xdr:row>
      <xdr:rowOff>2051</xdr:rowOff>
    </xdr:to>
    <xdr:pic>
      <xdr:nvPicPr>
        <xdr:cNvPr id="5" name="Afbeelding 4">
          <a:extLst>
            <a:ext uri="{FF2B5EF4-FFF2-40B4-BE49-F238E27FC236}">
              <a16:creationId xmlns:a16="http://schemas.microsoft.com/office/drawing/2014/main" id="{22B826E5-0508-4975-AC1E-CB2B3D2BACA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7175" y="133350"/>
          <a:ext cx="1810237" cy="37035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1829536</xdr:colOff>
      <xdr:row>0</xdr:row>
      <xdr:rowOff>135549</xdr:rowOff>
    </xdr:from>
    <xdr:to>
      <xdr:col>2</xdr:col>
      <xdr:colOff>3037988</xdr:colOff>
      <xdr:row>2</xdr:row>
      <xdr:rowOff>113689</xdr:rowOff>
    </xdr:to>
    <xdr:pic>
      <xdr:nvPicPr>
        <xdr:cNvPr id="3" name="Afbeelding 2" descr="Afbeelding met tekst, illustratie&#10;&#10;Automatisch gegenereerde beschrijving">
          <a:extLst>
            <a:ext uri="{FF2B5EF4-FFF2-40B4-BE49-F238E27FC236}">
              <a16:creationId xmlns:a16="http://schemas.microsoft.com/office/drawing/2014/main" id="{B0508411-C8A1-447E-820D-D603D464FFC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81961" y="135549"/>
          <a:ext cx="1211627" cy="340090"/>
        </a:xfrm>
        <a:prstGeom prst="rect">
          <a:avLst/>
        </a:prstGeom>
      </xdr:spPr>
    </xdr:pic>
    <xdr:clientData/>
  </xdr:twoCellAnchor>
  <xdr:twoCellAnchor editAs="oneCell">
    <xdr:from>
      <xdr:col>1</xdr:col>
      <xdr:colOff>257175</xdr:colOff>
      <xdr:row>0</xdr:row>
      <xdr:rowOff>133350</xdr:rowOff>
    </xdr:from>
    <xdr:to>
      <xdr:col>2</xdr:col>
      <xdr:colOff>1714987</xdr:colOff>
      <xdr:row>2</xdr:row>
      <xdr:rowOff>144926</xdr:rowOff>
    </xdr:to>
    <xdr:pic>
      <xdr:nvPicPr>
        <xdr:cNvPr id="4" name="Afbeelding 3">
          <a:extLst>
            <a:ext uri="{FF2B5EF4-FFF2-40B4-BE49-F238E27FC236}">
              <a16:creationId xmlns:a16="http://schemas.microsoft.com/office/drawing/2014/main" id="{040C41C7-A7BC-4166-894B-ACDC1316477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4000" y="133350"/>
          <a:ext cx="1813412" cy="37352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1115161</xdr:colOff>
      <xdr:row>1</xdr:row>
      <xdr:rowOff>21249</xdr:rowOff>
    </xdr:from>
    <xdr:to>
      <xdr:col>2</xdr:col>
      <xdr:colOff>2323613</xdr:colOff>
      <xdr:row>2</xdr:row>
      <xdr:rowOff>145439</xdr:rowOff>
    </xdr:to>
    <xdr:pic>
      <xdr:nvPicPr>
        <xdr:cNvPr id="4" name="Afbeelding 3" descr="Afbeelding met tekst, illustratie&#10;&#10;Automatisch gegenereerde beschrijving">
          <a:extLst>
            <a:ext uri="{FF2B5EF4-FFF2-40B4-BE49-F238E27FC236}">
              <a16:creationId xmlns:a16="http://schemas.microsoft.com/office/drawing/2014/main" id="{2EFA832F-B490-4009-B5E4-EDCB976AFA3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34361" y="167299"/>
          <a:ext cx="1208452" cy="308340"/>
        </a:xfrm>
        <a:prstGeom prst="rect">
          <a:avLst/>
        </a:prstGeom>
      </xdr:spPr>
    </xdr:pic>
    <xdr:clientData/>
  </xdr:twoCellAnchor>
  <xdr:twoCellAnchor editAs="oneCell">
    <xdr:from>
      <xdr:col>0</xdr:col>
      <xdr:colOff>412750</xdr:colOff>
      <xdr:row>1</xdr:row>
      <xdr:rowOff>19050</xdr:rowOff>
    </xdr:from>
    <xdr:to>
      <xdr:col>2</xdr:col>
      <xdr:colOff>1000612</xdr:colOff>
      <xdr:row>3</xdr:row>
      <xdr:rowOff>2051</xdr:rowOff>
    </xdr:to>
    <xdr:pic>
      <xdr:nvPicPr>
        <xdr:cNvPr id="5" name="Afbeelding 4">
          <a:extLst>
            <a:ext uri="{FF2B5EF4-FFF2-40B4-BE49-F238E27FC236}">
              <a16:creationId xmlns:a16="http://schemas.microsoft.com/office/drawing/2014/main" id="{AB8EFB67-B54E-436A-A7D7-2228AF28256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12750" y="165100"/>
          <a:ext cx="1807062" cy="34177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4.bin"/><Relationship Id="rId1" Type="http://schemas.openxmlformats.org/officeDocument/2006/relationships/hyperlink" Target="https://economie.fgov.be/nl/publicaties/de-werking-van-de-markt-van-de"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A77168-4FF9-455D-BD2E-740280B23ACD}">
  <sheetPr>
    <tabColor rgb="FF002060"/>
  </sheetPr>
  <dimension ref="A1:N73"/>
  <sheetViews>
    <sheetView showGridLines="0" tabSelected="1" zoomScale="115" zoomScaleNormal="115" workbookViewId="0">
      <pane ySplit="5" topLeftCell="A36" activePane="bottomLeft" state="frozen"/>
      <selection pane="bottomLeft" activeCell="J47" sqref="J47"/>
    </sheetView>
  </sheetViews>
  <sheetFormatPr defaultColWidth="0" defaultRowHeight="14.45" zeroHeight="1"/>
  <cols>
    <col min="1" max="1" width="3.85546875" customWidth="1"/>
    <col min="2" max="2" width="3.5703125" customWidth="1"/>
    <col min="3" max="3" width="22.140625" customWidth="1"/>
    <col min="4" max="4" width="19.28515625" customWidth="1"/>
    <col min="5" max="8" width="8.7109375" customWidth="1"/>
    <col min="9" max="9" width="24.85546875" customWidth="1"/>
    <col min="10" max="10" width="10.28515625" customWidth="1"/>
    <col min="11" max="14" width="8.7109375" customWidth="1"/>
    <col min="15" max="16384" width="8.7109375" hidden="1"/>
  </cols>
  <sheetData>
    <row r="1" spans="3:14" ht="11.45" customHeight="1">
      <c r="F1" s="58"/>
      <c r="G1" s="22"/>
      <c r="H1" s="22"/>
      <c r="I1" s="22"/>
      <c r="J1" s="22"/>
      <c r="K1" s="58"/>
      <c r="N1" s="22"/>
    </row>
    <row r="2" spans="3:14">
      <c r="F2" s="84" t="s">
        <v>0</v>
      </c>
      <c r="G2" s="83"/>
      <c r="H2" s="22"/>
      <c r="I2" s="22"/>
      <c r="J2" s="22"/>
      <c r="K2" s="84" t="s">
        <v>1</v>
      </c>
      <c r="N2" s="22"/>
    </row>
    <row r="3" spans="3:14">
      <c r="F3" s="84" t="s">
        <v>2</v>
      </c>
      <c r="G3" s="83"/>
      <c r="H3" s="22"/>
      <c r="I3" s="22"/>
      <c r="J3" s="22"/>
      <c r="K3" s="58"/>
      <c r="N3" s="22"/>
    </row>
    <row r="4" spans="3:14" ht="10.5" customHeight="1">
      <c r="F4" s="58"/>
      <c r="G4" s="22"/>
      <c r="H4" s="22"/>
      <c r="I4" s="22"/>
      <c r="J4" s="22"/>
      <c r="K4" s="58"/>
      <c r="N4" s="22"/>
    </row>
    <row r="5" spans="3:14" s="57" customFormat="1" ht="6" customHeight="1"/>
    <row r="6" spans="3:14" ht="15" thickBot="1"/>
    <row r="7" spans="3:14" ht="15.6">
      <c r="C7" s="59" t="s">
        <v>3</v>
      </c>
      <c r="D7" s="60"/>
      <c r="E7" s="60"/>
      <c r="F7" s="60"/>
      <c r="G7" s="60"/>
      <c r="H7" s="60"/>
      <c r="I7" s="61"/>
    </row>
    <row r="8" spans="3:14" ht="5.0999999999999996" customHeight="1">
      <c r="C8" s="80"/>
      <c r="D8" s="22"/>
      <c r="E8" s="22"/>
      <c r="F8" s="22"/>
      <c r="G8" s="22"/>
      <c r="H8" s="22"/>
      <c r="I8" s="63"/>
    </row>
    <row r="9" spans="3:14" s="73" customFormat="1" ht="14.1">
      <c r="C9" s="74" t="s">
        <v>4</v>
      </c>
      <c r="D9" s="68" t="s">
        <v>5</v>
      </c>
      <c r="E9" s="75"/>
      <c r="F9" s="75"/>
      <c r="G9" s="75"/>
      <c r="H9" s="75"/>
      <c r="I9" s="76"/>
      <c r="J9" s="75"/>
      <c r="K9" s="77"/>
      <c r="L9" s="77"/>
    </row>
    <row r="10" spans="3:14" s="73" customFormat="1" ht="14.1">
      <c r="C10" s="70"/>
      <c r="D10" s="78" t="s">
        <v>6</v>
      </c>
      <c r="E10" s="75"/>
      <c r="F10" s="75"/>
      <c r="G10" s="75"/>
      <c r="H10" s="75"/>
      <c r="I10" s="76"/>
      <c r="J10" s="77"/>
      <c r="K10" s="77"/>
      <c r="L10" s="77"/>
    </row>
    <row r="11" spans="3:14" s="73" customFormat="1" ht="5.45" customHeight="1">
      <c r="C11" s="70"/>
      <c r="D11" s="75"/>
      <c r="E11" s="75"/>
      <c r="F11" s="75"/>
      <c r="G11" s="75"/>
      <c r="H11" s="75"/>
      <c r="I11" s="76"/>
      <c r="J11" s="77"/>
      <c r="K11" s="77"/>
      <c r="L11" s="77"/>
    </row>
    <row r="12" spans="3:14" s="73" customFormat="1" ht="14.1">
      <c r="C12" s="70"/>
      <c r="D12" s="69" t="s">
        <v>7</v>
      </c>
      <c r="E12" s="75"/>
      <c r="F12" s="75"/>
      <c r="G12" s="75"/>
      <c r="H12" s="75"/>
      <c r="I12" s="76"/>
      <c r="J12" s="77"/>
      <c r="K12" s="77"/>
      <c r="L12" s="77"/>
    </row>
    <row r="13" spans="3:14" s="73" customFormat="1" ht="14.1">
      <c r="C13" s="70"/>
      <c r="D13" s="69" t="s">
        <v>8</v>
      </c>
      <c r="E13" s="75"/>
      <c r="F13" s="75"/>
      <c r="G13" s="75"/>
      <c r="H13" s="75"/>
      <c r="I13" s="76"/>
      <c r="J13" s="77"/>
      <c r="K13" s="77"/>
      <c r="L13" s="77"/>
    </row>
    <row r="14" spans="3:14" s="73" customFormat="1" ht="5.0999999999999996" customHeight="1">
      <c r="C14" s="70"/>
      <c r="D14" s="69"/>
      <c r="E14" s="75"/>
      <c r="F14" s="75"/>
      <c r="G14" s="75"/>
      <c r="H14" s="75"/>
      <c r="I14" s="76"/>
      <c r="J14" s="77"/>
      <c r="K14" s="77"/>
      <c r="L14" s="77"/>
    </row>
    <row r="15" spans="3:14" s="73" customFormat="1" ht="14.1">
      <c r="C15" s="74" t="s">
        <v>9</v>
      </c>
      <c r="D15" s="79" t="s">
        <v>10</v>
      </c>
      <c r="E15" s="71"/>
      <c r="F15" s="71"/>
      <c r="G15" s="71"/>
      <c r="H15" s="71"/>
      <c r="I15" s="72"/>
    </row>
    <row r="16" spans="3:14" s="73" customFormat="1" ht="14.1">
      <c r="C16" s="70"/>
      <c r="D16" s="79" t="s">
        <v>11</v>
      </c>
      <c r="E16" s="71"/>
      <c r="F16" s="71"/>
      <c r="G16" s="71"/>
      <c r="H16" s="71"/>
      <c r="I16" s="72"/>
    </row>
    <row r="17" spans="3:9" ht="5.0999999999999996" customHeight="1" thickBot="1">
      <c r="C17" s="64"/>
      <c r="D17" s="65"/>
      <c r="E17" s="65"/>
      <c r="F17" s="65"/>
      <c r="G17" s="65"/>
      <c r="H17" s="65"/>
      <c r="I17" s="66"/>
    </row>
    <row r="18" spans="3:9" ht="15" thickBot="1"/>
    <row r="19" spans="3:9" ht="15.6">
      <c r="C19" s="59" t="s">
        <v>12</v>
      </c>
      <c r="D19" s="60"/>
      <c r="E19" s="60"/>
      <c r="F19" s="60"/>
      <c r="G19" s="60"/>
      <c r="H19" s="60"/>
      <c r="I19" s="61"/>
    </row>
    <row r="20" spans="3:9" ht="5.0999999999999996" customHeight="1">
      <c r="C20" s="62"/>
      <c r="D20" s="22"/>
      <c r="E20" s="22"/>
      <c r="F20" s="22"/>
      <c r="G20" s="22"/>
      <c r="H20" s="22"/>
      <c r="I20" s="63"/>
    </row>
    <row r="21" spans="3:9">
      <c r="C21" s="74" t="s">
        <v>4</v>
      </c>
      <c r="D21" s="79" t="s">
        <v>13</v>
      </c>
      <c r="E21" s="79"/>
      <c r="F21" s="79"/>
      <c r="G21" s="67"/>
      <c r="H21" s="67"/>
      <c r="I21" s="81"/>
    </row>
    <row r="22" spans="3:9">
      <c r="C22" s="74" t="s">
        <v>14</v>
      </c>
      <c r="D22" s="79" t="s">
        <v>15</v>
      </c>
      <c r="E22" s="79"/>
      <c r="F22" s="79"/>
      <c r="G22" s="67"/>
      <c r="H22" s="67"/>
      <c r="I22" s="81"/>
    </row>
    <row r="23" spans="3:9">
      <c r="C23" s="74" t="s">
        <v>16</v>
      </c>
      <c r="D23" s="79" t="s">
        <v>17</v>
      </c>
      <c r="E23" s="79"/>
      <c r="F23" s="71"/>
      <c r="G23" s="22"/>
      <c r="H23" s="22"/>
      <c r="I23" s="63"/>
    </row>
    <row r="24" spans="3:9">
      <c r="C24" s="74" t="s">
        <v>18</v>
      </c>
      <c r="D24" s="79" t="s">
        <v>19</v>
      </c>
      <c r="E24" s="79"/>
      <c r="F24" s="71"/>
      <c r="G24" s="22"/>
      <c r="H24" s="22"/>
      <c r="I24" s="63"/>
    </row>
    <row r="25" spans="3:9">
      <c r="C25" s="74" t="s">
        <v>20</v>
      </c>
      <c r="D25" s="79" t="s">
        <v>21</v>
      </c>
      <c r="E25" s="22"/>
      <c r="F25" s="22"/>
      <c r="G25" s="22"/>
      <c r="H25" s="22"/>
      <c r="I25" s="63"/>
    </row>
    <row r="26" spans="3:9">
      <c r="C26" s="82" t="s">
        <v>22</v>
      </c>
      <c r="D26" s="79" t="s">
        <v>23</v>
      </c>
      <c r="E26" s="22"/>
      <c r="F26" s="22"/>
      <c r="G26" s="22"/>
      <c r="H26" s="22"/>
      <c r="I26" s="63"/>
    </row>
    <row r="27" spans="3:9">
      <c r="C27" s="82" t="s">
        <v>24</v>
      </c>
      <c r="D27" s="79" t="s">
        <v>25</v>
      </c>
      <c r="E27" s="22"/>
      <c r="F27" s="22"/>
      <c r="G27" s="22"/>
      <c r="H27" s="22"/>
      <c r="I27" s="63"/>
    </row>
    <row r="28" spans="3:9">
      <c r="C28" s="82" t="s">
        <v>26</v>
      </c>
      <c r="D28" s="79" t="s">
        <v>27</v>
      </c>
      <c r="E28" s="22"/>
      <c r="F28" s="22"/>
      <c r="G28" s="22"/>
      <c r="H28" s="22"/>
      <c r="I28" s="63"/>
    </row>
    <row r="29" spans="3:9">
      <c r="C29" s="82" t="s">
        <v>28</v>
      </c>
      <c r="D29" s="79" t="s">
        <v>29</v>
      </c>
      <c r="E29" s="22"/>
      <c r="F29" s="22"/>
      <c r="G29" s="22"/>
      <c r="H29" s="22"/>
      <c r="I29" s="63"/>
    </row>
    <row r="30" spans="3:9">
      <c r="C30" s="82" t="s">
        <v>30</v>
      </c>
      <c r="D30" s="79" t="s">
        <v>31</v>
      </c>
      <c r="E30" s="22"/>
      <c r="F30" s="22"/>
      <c r="G30" s="22"/>
      <c r="H30" s="22"/>
      <c r="I30" s="63"/>
    </row>
    <row r="31" spans="3:9">
      <c r="C31" s="82" t="s">
        <v>32</v>
      </c>
      <c r="D31" s="79" t="s">
        <v>33</v>
      </c>
      <c r="E31" s="22"/>
      <c r="F31" s="22"/>
      <c r="G31" s="22"/>
      <c r="H31" s="22"/>
      <c r="I31" s="63"/>
    </row>
    <row r="32" spans="3:9" ht="5.0999999999999996" customHeight="1" thickBot="1">
      <c r="C32" s="64"/>
      <c r="D32" s="65"/>
      <c r="E32" s="65"/>
      <c r="F32" s="65"/>
      <c r="G32" s="65"/>
      <c r="H32" s="65"/>
      <c r="I32" s="66"/>
    </row>
    <row r="33" spans="3:9"/>
    <row r="34" spans="3:9"/>
    <row r="35" spans="3:9"/>
    <row r="36" spans="3:9">
      <c r="C36" s="91" t="s">
        <v>34</v>
      </c>
    </row>
    <row r="37" spans="3:9" ht="15" thickBot="1"/>
    <row r="38" spans="3:9" ht="15.6">
      <c r="C38" s="59" t="s">
        <v>35</v>
      </c>
      <c r="D38" s="60"/>
      <c r="E38" s="60"/>
      <c r="F38" s="60"/>
      <c r="G38" s="60"/>
      <c r="H38" s="60"/>
      <c r="I38" s="61"/>
    </row>
    <row r="39" spans="3:9" ht="5.0999999999999996" customHeight="1">
      <c r="C39" s="80"/>
      <c r="D39" s="22"/>
      <c r="E39" s="22"/>
      <c r="F39" s="22"/>
      <c r="G39" s="22"/>
      <c r="H39" s="22"/>
      <c r="I39" s="63"/>
    </row>
    <row r="40" spans="3:9">
      <c r="C40" s="74" t="s">
        <v>36</v>
      </c>
      <c r="D40" s="68" t="s">
        <v>37</v>
      </c>
      <c r="E40" s="75"/>
      <c r="F40" s="75"/>
      <c r="G40" s="75"/>
      <c r="H40" s="75"/>
      <c r="I40" s="76"/>
    </row>
    <row r="41" spans="3:9">
      <c r="C41" s="70"/>
      <c r="D41" s="78" t="s">
        <v>38</v>
      </c>
      <c r="E41" s="75"/>
      <c r="F41" s="75"/>
      <c r="G41" s="75"/>
      <c r="H41" s="75"/>
      <c r="I41" s="76"/>
    </row>
    <row r="42" spans="3:9">
      <c r="C42" s="70"/>
      <c r="D42" s="78" t="s">
        <v>39</v>
      </c>
      <c r="E42" s="75"/>
      <c r="F42" s="75"/>
      <c r="G42" s="75"/>
      <c r="H42" s="75"/>
      <c r="I42" s="76"/>
    </row>
    <row r="43" spans="3:9" ht="5.0999999999999996" customHeight="1">
      <c r="C43" s="70"/>
      <c r="D43" s="75"/>
      <c r="E43" s="75"/>
      <c r="F43" s="75"/>
      <c r="G43" s="75"/>
      <c r="H43" s="75"/>
      <c r="I43" s="76"/>
    </row>
    <row r="44" spans="3:9">
      <c r="C44" s="70"/>
      <c r="D44" s="69" t="s">
        <v>40</v>
      </c>
      <c r="E44" s="75"/>
      <c r="F44" s="75"/>
      <c r="G44" s="75"/>
      <c r="H44" s="75"/>
      <c r="I44" s="76"/>
    </row>
    <row r="45" spans="3:9">
      <c r="C45" s="70"/>
      <c r="D45" s="69" t="s">
        <v>41</v>
      </c>
      <c r="E45" s="75"/>
      <c r="F45" s="75"/>
      <c r="G45" s="75"/>
      <c r="H45" s="75"/>
      <c r="I45" s="76"/>
    </row>
    <row r="46" spans="3:9" ht="5.0999999999999996" customHeight="1">
      <c r="C46" s="70"/>
      <c r="D46" s="69"/>
      <c r="E46" s="75"/>
      <c r="F46" s="75"/>
      <c r="G46" s="75"/>
      <c r="H46" s="75"/>
      <c r="I46" s="76"/>
    </row>
    <row r="47" spans="3:9">
      <c r="C47" s="74" t="s">
        <v>42</v>
      </c>
      <c r="D47" s="79" t="s">
        <v>43</v>
      </c>
      <c r="E47" s="71"/>
      <c r="F47" s="71"/>
      <c r="G47" s="71"/>
      <c r="H47" s="71"/>
      <c r="I47" s="72"/>
    </row>
    <row r="48" spans="3:9">
      <c r="C48" s="70"/>
      <c r="D48" s="79" t="s">
        <v>44</v>
      </c>
      <c r="E48" s="71"/>
      <c r="F48" s="71"/>
      <c r="G48" s="71"/>
      <c r="H48" s="71"/>
      <c r="I48" s="72"/>
    </row>
    <row r="49" spans="3:11" ht="5.0999999999999996" customHeight="1" thickBot="1">
      <c r="C49" s="64"/>
      <c r="D49" s="65"/>
      <c r="E49" s="65"/>
      <c r="F49" s="65"/>
      <c r="G49" s="65"/>
      <c r="H49" s="65"/>
      <c r="I49" s="66"/>
    </row>
    <row r="50" spans="3:11" ht="15" thickBot="1"/>
    <row r="51" spans="3:11" ht="15.6">
      <c r="C51" s="59" t="s">
        <v>45</v>
      </c>
      <c r="D51" s="60"/>
      <c r="E51" s="60"/>
      <c r="F51" s="60"/>
      <c r="G51" s="60"/>
      <c r="H51" s="60"/>
      <c r="I51" s="61"/>
    </row>
    <row r="52" spans="3:11" ht="5.0999999999999996" customHeight="1">
      <c r="C52" s="62"/>
      <c r="D52" s="22"/>
      <c r="E52" s="22"/>
      <c r="F52" s="22"/>
      <c r="G52" s="22"/>
      <c r="H52" s="22"/>
      <c r="I52" s="63"/>
    </row>
    <row r="53" spans="3:11">
      <c r="C53" s="74" t="s">
        <v>4</v>
      </c>
      <c r="D53" s="79" t="s">
        <v>46</v>
      </c>
      <c r="E53" s="79"/>
      <c r="F53" s="79"/>
      <c r="G53" s="67"/>
      <c r="H53" s="67"/>
      <c r="I53" s="81"/>
    </row>
    <row r="54" spans="3:11">
      <c r="C54" s="74" t="s">
        <v>14</v>
      </c>
      <c r="D54" s="79" t="s">
        <v>47</v>
      </c>
      <c r="E54" s="79"/>
      <c r="F54" s="79"/>
      <c r="G54" s="67"/>
      <c r="H54" s="67"/>
      <c r="I54" s="81"/>
    </row>
    <row r="55" spans="3:11">
      <c r="C55" s="74" t="s">
        <v>16</v>
      </c>
      <c r="D55" s="79" t="s">
        <v>48</v>
      </c>
      <c r="E55" s="79"/>
      <c r="F55" s="71"/>
      <c r="G55" s="22"/>
      <c r="H55" s="22"/>
      <c r="I55" s="63"/>
    </row>
    <row r="56" spans="3:11">
      <c r="C56" s="74" t="s">
        <v>18</v>
      </c>
      <c r="D56" s="79" t="s">
        <v>49</v>
      </c>
      <c r="E56" s="79"/>
      <c r="F56" s="71"/>
      <c r="G56" s="22"/>
      <c r="H56" s="22"/>
      <c r="I56" s="63"/>
      <c r="K56" s="79"/>
    </row>
    <row r="57" spans="3:11">
      <c r="C57" s="74" t="s">
        <v>20</v>
      </c>
      <c r="D57" s="79" t="s">
        <v>50</v>
      </c>
      <c r="E57" s="22"/>
      <c r="F57" s="22"/>
      <c r="G57" s="22"/>
      <c r="H57" s="22"/>
      <c r="I57" s="63"/>
      <c r="K57" s="79"/>
    </row>
    <row r="58" spans="3:11">
      <c r="C58" s="82" t="s">
        <v>22</v>
      </c>
      <c r="D58" s="79" t="s">
        <v>51</v>
      </c>
      <c r="E58" s="22"/>
      <c r="F58" s="22"/>
      <c r="G58" s="22"/>
      <c r="H58" s="22"/>
      <c r="I58" s="63"/>
      <c r="K58" s="79"/>
    </row>
    <row r="59" spans="3:11">
      <c r="C59" s="82" t="s">
        <v>24</v>
      </c>
      <c r="D59" s="79" t="s">
        <v>52</v>
      </c>
      <c r="E59" s="22"/>
      <c r="F59" s="22"/>
      <c r="G59" s="22"/>
      <c r="H59" s="22"/>
      <c r="I59" s="63"/>
      <c r="K59" s="79"/>
    </row>
    <row r="60" spans="3:11">
      <c r="C60" s="82" t="s">
        <v>26</v>
      </c>
      <c r="D60" s="79" t="s">
        <v>53</v>
      </c>
      <c r="E60" s="22"/>
      <c r="F60" s="22"/>
      <c r="G60" s="22"/>
      <c r="H60" s="22"/>
      <c r="I60" s="63"/>
      <c r="K60" s="79"/>
    </row>
    <row r="61" spans="3:11">
      <c r="C61" s="82" t="s">
        <v>28</v>
      </c>
      <c r="D61" s="79" t="s">
        <v>54</v>
      </c>
      <c r="E61" s="22"/>
      <c r="F61" s="22"/>
      <c r="G61" s="22"/>
      <c r="H61" s="22"/>
      <c r="I61" s="63"/>
      <c r="K61" s="79"/>
    </row>
    <row r="62" spans="3:11">
      <c r="C62" s="82" t="s">
        <v>30</v>
      </c>
      <c r="D62" s="79" t="s">
        <v>55</v>
      </c>
      <c r="E62" s="22"/>
      <c r="F62" s="22"/>
      <c r="G62" s="22"/>
      <c r="H62" s="22"/>
      <c r="I62" s="63"/>
      <c r="K62" s="79"/>
    </row>
    <row r="63" spans="3:11">
      <c r="C63" s="82"/>
      <c r="D63" s="79" t="s">
        <v>56</v>
      </c>
      <c r="E63" s="22"/>
      <c r="F63" s="22"/>
      <c r="G63" s="22"/>
      <c r="H63" s="22"/>
      <c r="I63" s="63"/>
      <c r="K63" s="79"/>
    </row>
    <row r="64" spans="3:11">
      <c r="C64" s="82" t="s">
        <v>32</v>
      </c>
      <c r="D64" s="79" t="s">
        <v>57</v>
      </c>
      <c r="E64" s="22"/>
      <c r="F64" s="22"/>
      <c r="G64" s="22"/>
      <c r="H64" s="22"/>
      <c r="I64" s="63"/>
      <c r="K64" s="79"/>
    </row>
    <row r="65" spans="3:11">
      <c r="C65" s="82"/>
      <c r="D65" s="79" t="s">
        <v>58</v>
      </c>
      <c r="E65" s="22"/>
      <c r="F65" s="22"/>
      <c r="G65" s="22"/>
      <c r="H65" s="22"/>
      <c r="I65" s="63"/>
      <c r="K65" s="79"/>
    </row>
    <row r="66" spans="3:11" ht="5.0999999999999996" customHeight="1" thickBot="1">
      <c r="C66" s="64"/>
      <c r="D66" s="65"/>
      <c r="E66" s="65"/>
      <c r="F66" s="65"/>
      <c r="G66" s="65"/>
      <c r="H66" s="65"/>
      <c r="I66" s="66"/>
    </row>
    <row r="67" spans="3:11"/>
    <row r="68" spans="3:11"/>
    <row r="69" spans="3:11"/>
    <row r="70" spans="3:11"/>
    <row r="71" spans="3:11"/>
    <row r="72" spans="3:11"/>
    <row r="73" spans="3:11"/>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E89EBC-2C72-43AE-8081-2CBEC9FD21B6}">
  <sheetPr>
    <tabColor theme="4" tint="0.59999389629810485"/>
  </sheetPr>
  <dimension ref="A1:P34"/>
  <sheetViews>
    <sheetView showGridLines="0" workbookViewId="0">
      <selection activeCell="D3" sqref="D3"/>
    </sheetView>
  </sheetViews>
  <sheetFormatPr defaultColWidth="0" defaultRowHeight="14.45" zeroHeight="1"/>
  <cols>
    <col min="1" max="2" width="8.7109375" customWidth="1"/>
    <col min="3" max="3" width="52.28515625" customWidth="1"/>
    <col min="4" max="4" width="11.5703125" bestFit="1" customWidth="1"/>
    <col min="5" max="5" width="10.5703125" bestFit="1" customWidth="1"/>
    <col min="6" max="16" width="8.7109375" customWidth="1"/>
    <col min="17" max="16384" width="8.7109375" hidden="1"/>
  </cols>
  <sheetData>
    <row r="1" spans="2:15" ht="11.45" customHeight="1">
      <c r="D1" s="58"/>
      <c r="E1" s="22"/>
      <c r="F1" s="22"/>
      <c r="G1" s="22"/>
      <c r="H1" s="22"/>
      <c r="J1" s="58"/>
      <c r="O1" s="22"/>
    </row>
    <row r="2" spans="2:15">
      <c r="D2" s="84" t="s">
        <v>59</v>
      </c>
      <c r="E2" s="83"/>
      <c r="F2" s="22"/>
      <c r="G2" s="22"/>
      <c r="H2" s="22"/>
      <c r="J2" s="84" t="s">
        <v>28</v>
      </c>
      <c r="O2" s="22"/>
    </row>
    <row r="3" spans="2:15">
      <c r="D3" s="84" t="s">
        <v>2</v>
      </c>
      <c r="E3" s="83"/>
      <c r="F3" s="22"/>
      <c r="G3" s="22"/>
      <c r="H3" s="22"/>
      <c r="J3" s="58"/>
      <c r="O3" s="22"/>
    </row>
    <row r="4" spans="2:15" ht="10.5" customHeight="1">
      <c r="D4" s="58"/>
      <c r="E4" s="22"/>
      <c r="F4" s="22"/>
      <c r="G4" s="22"/>
      <c r="H4" s="22"/>
      <c r="J4" s="58"/>
      <c r="O4" s="22"/>
    </row>
    <row r="5" spans="2:15" s="57" customFormat="1" ht="6" customHeight="1"/>
    <row r="6" spans="2:15"/>
    <row r="7" spans="2:15" s="27" customFormat="1" ht="28.5">
      <c r="C7" s="26" t="s">
        <v>92</v>
      </c>
    </row>
    <row r="8" spans="2:15"/>
    <row r="9" spans="2:15" ht="15" thickBot="1"/>
    <row r="10" spans="2:15">
      <c r="B10" s="103"/>
      <c r="C10" s="60"/>
      <c r="D10" s="60"/>
      <c r="E10" s="60"/>
      <c r="F10" s="60"/>
      <c r="G10" s="60"/>
      <c r="H10" s="60"/>
      <c r="I10" s="60"/>
      <c r="J10" s="60"/>
      <c r="K10" s="61"/>
    </row>
    <row r="11" spans="2:15" ht="15" thickBot="1">
      <c r="B11" s="62"/>
      <c r="C11" s="86" t="s">
        <v>93</v>
      </c>
      <c r="D11" s="86" t="s">
        <v>130</v>
      </c>
      <c r="E11" s="86" t="s">
        <v>410</v>
      </c>
      <c r="F11" s="86"/>
      <c r="G11" s="86"/>
      <c r="H11" s="86"/>
      <c r="I11" s="86"/>
      <c r="J11" s="86"/>
      <c r="K11" s="63"/>
    </row>
    <row r="12" spans="2:15" ht="15" thickTop="1">
      <c r="B12" s="62"/>
      <c r="C12" s="94"/>
      <c r="D12" s="94"/>
      <c r="E12" s="22"/>
      <c r="F12" s="22"/>
      <c r="G12" s="22"/>
      <c r="H12" s="22"/>
      <c r="I12" s="22"/>
      <c r="J12" s="22"/>
      <c r="K12" s="63"/>
    </row>
    <row r="13" spans="2:15">
      <c r="B13" s="62"/>
      <c r="C13" s="95" t="s">
        <v>411</v>
      </c>
      <c r="D13" s="142">
        <f>Inrichting!D68</f>
        <v>24752.78100000001</v>
      </c>
      <c r="E13" s="22" t="s">
        <v>412</v>
      </c>
      <c r="F13" s="22"/>
      <c r="G13" s="22"/>
      <c r="H13" s="22"/>
      <c r="I13" s="22"/>
      <c r="J13" s="22"/>
      <c r="K13" s="63"/>
    </row>
    <row r="14" spans="2:15">
      <c r="B14" s="62"/>
      <c r="C14" s="95" t="s">
        <v>413</v>
      </c>
      <c r="D14" s="143">
        <f>Inrichting!E78+Inrichting!E81+Inrichting!E83</f>
        <v>35766.679000000004</v>
      </c>
      <c r="E14" s="22" t="s">
        <v>412</v>
      </c>
      <c r="F14" s="22"/>
      <c r="G14" s="22"/>
      <c r="H14" s="22"/>
      <c r="I14" s="22"/>
      <c r="J14" s="22"/>
      <c r="K14" s="63"/>
    </row>
    <row r="15" spans="2:15">
      <c r="B15" s="62"/>
      <c r="C15" s="47" t="s">
        <v>414</v>
      </c>
      <c r="D15" s="158">
        <f>D13+D14</f>
        <v>60519.460000000014</v>
      </c>
      <c r="E15" s="22"/>
      <c r="F15" s="22"/>
      <c r="G15" s="22"/>
      <c r="H15" s="22"/>
      <c r="I15" s="22"/>
      <c r="J15" s="22"/>
      <c r="K15" s="63"/>
    </row>
    <row r="16" spans="2:15">
      <c r="B16" s="62"/>
      <c r="C16" s="29" t="s">
        <v>415</v>
      </c>
      <c r="D16" s="144">
        <v>7.4999999999999997E-3</v>
      </c>
      <c r="E16" s="22" t="s">
        <v>416</v>
      </c>
      <c r="F16" s="22"/>
      <c r="G16" s="22"/>
      <c r="H16" s="22"/>
      <c r="I16" s="22"/>
      <c r="J16" s="22"/>
      <c r="K16" s="63"/>
    </row>
    <row r="17" spans="2:11">
      <c r="B17" s="62"/>
      <c r="C17" s="47" t="s">
        <v>417</v>
      </c>
      <c r="D17" s="157">
        <f>D15*D16</f>
        <v>453.89595000000008</v>
      </c>
      <c r="E17" s="22"/>
      <c r="F17" s="22"/>
      <c r="G17" s="22"/>
      <c r="H17" s="22"/>
      <c r="I17" s="22"/>
      <c r="J17" s="22"/>
      <c r="K17" s="63"/>
    </row>
    <row r="18" spans="2:11" ht="15" thickBot="1">
      <c r="B18" s="64"/>
      <c r="C18" s="65"/>
      <c r="D18" s="65"/>
      <c r="E18" s="65"/>
      <c r="F18" s="65"/>
      <c r="G18" s="65"/>
      <c r="H18" s="65"/>
      <c r="I18" s="65"/>
      <c r="J18" s="65"/>
      <c r="K18" s="66"/>
    </row>
    <row r="19" spans="2:11"/>
    <row r="20" spans="2:11"/>
    <row r="21" spans="2:11">
      <c r="C21" s="145" t="s">
        <v>418</v>
      </c>
    </row>
    <row r="22" spans="2:11">
      <c r="C22" s="145" t="s">
        <v>419</v>
      </c>
    </row>
    <row r="23" spans="2:11">
      <c r="C23" s="145" t="s">
        <v>420</v>
      </c>
    </row>
    <row r="24" spans="2:11">
      <c r="C24" s="145" t="s">
        <v>421</v>
      </c>
    </row>
    <row r="25" spans="2:11"/>
    <row r="26" spans="2:11"/>
    <row r="27" spans="2:11" ht="15" thickBot="1">
      <c r="D27" s="160" t="s">
        <v>130</v>
      </c>
      <c r="E27" s="160" t="s">
        <v>131</v>
      </c>
      <c r="F27" s="94"/>
      <c r="G27" s="94"/>
      <c r="H27" s="94"/>
      <c r="I27" s="94"/>
    </row>
    <row r="28" spans="2:11" ht="15" thickTop="1">
      <c r="C28" s="44" t="s">
        <v>422</v>
      </c>
      <c r="D28" s="159">
        <v>0.02</v>
      </c>
      <c r="E28" s="159">
        <f>D28-D16</f>
        <v>1.2500000000000001E-2</v>
      </c>
    </row>
    <row r="29" spans="2:11">
      <c r="C29" s="44" t="s">
        <v>423</v>
      </c>
      <c r="D29" s="155">
        <f>D15*D28</f>
        <v>1210.3892000000003</v>
      </c>
      <c r="E29" s="156">
        <f>D29-D17</f>
        <v>756.49325000000022</v>
      </c>
    </row>
    <row r="30" spans="2:11"/>
    <row r="31" spans="2:11"/>
    <row r="32" spans="2:11"/>
    <row r="33"/>
    <row r="34"/>
  </sheetData>
  <pageMargins left="0.7" right="0.7" top="0.75" bottom="0.75" header="0.3" footer="0.3"/>
  <pageSetup paperSize="9" orientation="portrait" horizontalDpi="4294967293"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B4162F-DEF9-4FF3-9AA9-1E312801F003}">
  <sheetPr>
    <tabColor theme="4" tint="-0.249977111117893"/>
  </sheetPr>
  <dimension ref="A1"/>
  <sheetViews>
    <sheetView showGridLines="0" workbookViewId="0">
      <selection activeCell="J12" sqref="J12"/>
    </sheetView>
  </sheetViews>
  <sheetFormatPr defaultRowHeight="14.4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06B355-B27B-479B-AD1D-324635938C5D}">
  <sheetPr>
    <tabColor rgb="FF002060"/>
  </sheetPr>
  <dimension ref="A1:P33"/>
  <sheetViews>
    <sheetView showGridLines="0" workbookViewId="0">
      <selection activeCell="G3" sqref="G3"/>
    </sheetView>
  </sheetViews>
  <sheetFormatPr defaultColWidth="0" defaultRowHeight="14.45" zeroHeight="1"/>
  <cols>
    <col min="1" max="1" width="8.7109375" customWidth="1"/>
    <col min="2" max="2" width="24.85546875" customWidth="1"/>
    <col min="3" max="3" width="4.85546875" customWidth="1"/>
    <col min="4" max="6" width="15.5703125" customWidth="1"/>
    <col min="7" max="7" width="17.42578125" customWidth="1"/>
    <col min="8" max="8" width="8.42578125" customWidth="1"/>
    <col min="9" max="9" width="15.5703125" customWidth="1"/>
    <col min="10" max="10" width="14.5703125" customWidth="1"/>
    <col min="11" max="11" width="10.140625" bestFit="1" customWidth="1"/>
    <col min="12" max="12" width="8.85546875" bestFit="1" customWidth="1"/>
    <col min="13" max="13" width="10.5703125" bestFit="1" customWidth="1"/>
    <col min="14" max="14" width="10.28515625" bestFit="1" customWidth="1"/>
    <col min="15" max="16" width="8.7109375" customWidth="1"/>
    <col min="17" max="16384" width="8.7109375" hidden="1"/>
  </cols>
  <sheetData>
    <row r="1" spans="2:14" ht="11.45" customHeight="1">
      <c r="G1" s="58"/>
      <c r="H1" s="22"/>
      <c r="I1" s="22"/>
      <c r="J1" s="22"/>
      <c r="K1" s="22"/>
      <c r="L1" s="58"/>
      <c r="N1" s="22"/>
    </row>
    <row r="2" spans="2:14">
      <c r="G2" s="84" t="s">
        <v>59</v>
      </c>
      <c r="H2" s="83"/>
      <c r="I2" s="22"/>
      <c r="J2" s="22"/>
      <c r="K2" s="22"/>
      <c r="L2" s="84" t="s">
        <v>30</v>
      </c>
      <c r="N2" s="22"/>
    </row>
    <row r="3" spans="2:14">
      <c r="G3" s="84" t="s">
        <v>2</v>
      </c>
      <c r="H3" s="83"/>
      <c r="I3" s="22"/>
      <c r="J3" s="22"/>
      <c r="K3" s="22"/>
      <c r="L3" s="58"/>
      <c r="N3" s="22"/>
    </row>
    <row r="4" spans="2:14" ht="10.5" customHeight="1">
      <c r="G4" s="58"/>
      <c r="H4" s="22"/>
      <c r="I4" s="22"/>
      <c r="J4" s="22"/>
      <c r="K4" s="22"/>
      <c r="L4" s="58"/>
      <c r="N4" s="22"/>
    </row>
    <row r="5" spans="2:14" s="57" customFormat="1" ht="6" customHeight="1"/>
    <row r="6" spans="2:14"/>
    <row r="7" spans="2:14"/>
    <row r="8" spans="2:14"/>
    <row r="9" spans="2:14"/>
    <row r="10" spans="2:14">
      <c r="I10" t="s">
        <v>424</v>
      </c>
    </row>
    <row r="11" spans="2:14" ht="43.5">
      <c r="D11" s="174" t="s">
        <v>425</v>
      </c>
      <c r="E11" s="174" t="s">
        <v>426</v>
      </c>
      <c r="F11" s="174" t="s">
        <v>425</v>
      </c>
      <c r="G11" s="174" t="s">
        <v>426</v>
      </c>
    </row>
    <row r="12" spans="2:14" ht="15" thickBot="1">
      <c r="D12" s="86" t="s">
        <v>131</v>
      </c>
      <c r="E12" s="86" t="s">
        <v>131</v>
      </c>
      <c r="F12" s="86" t="s">
        <v>69</v>
      </c>
      <c r="G12" s="86" t="s">
        <v>69</v>
      </c>
      <c r="I12" s="86" t="s">
        <v>131</v>
      </c>
      <c r="J12" s="86" t="s">
        <v>69</v>
      </c>
    </row>
    <row r="13" spans="2:14" ht="15" thickTop="1"/>
    <row r="14" spans="2:14">
      <c r="B14" s="32" t="s">
        <v>18</v>
      </c>
      <c r="C14" s="163"/>
      <c r="D14" s="165">
        <f>(Loon!E57+Loon!E57*Loon!$D$15*2)-Loon!$D$16</f>
        <v>14095.248749999999</v>
      </c>
      <c r="E14" s="165">
        <f>(Loon!E55+Loon!E55*Loon!$D$15*2)-Loon!$D$16</f>
        <v>14635.491750000001</v>
      </c>
      <c r="F14" s="165">
        <f>D14+'Overzicht '!D11</f>
        <v>80278.1685</v>
      </c>
      <c r="G14" s="165">
        <f>F14-D14+E14</f>
        <v>80818.411500000002</v>
      </c>
      <c r="I14" s="165">
        <v>0</v>
      </c>
      <c r="J14" s="165">
        <f>'Overzicht '!D11+'Alternatieve schattingen'!I14</f>
        <v>66182.919750000001</v>
      </c>
      <c r="K14" s="2"/>
      <c r="L14" s="7"/>
      <c r="M14" s="30"/>
    </row>
    <row r="15" spans="2:14">
      <c r="B15" s="32" t="s">
        <v>20</v>
      </c>
      <c r="C15" s="163"/>
      <c r="D15" s="165">
        <f>+Exploitatie!E22+(3000-1000)*1.21</f>
        <v>4370</v>
      </c>
      <c r="E15" s="165">
        <f>D15</f>
        <v>4370</v>
      </c>
      <c r="F15" s="165">
        <f>'Overzicht '!D12+'Alternatieve schattingen'!D15</f>
        <v>17226.911599999999</v>
      </c>
      <c r="G15" s="165">
        <f>F15</f>
        <v>17226.911599999999</v>
      </c>
      <c r="I15" s="165">
        <f>(Exploitatie!E105+30000/100*9-Exploitatie!E100)-Exploitatie!E96-Exploitatie!E11-Exploitatie!E22-Exploitatie!E23-Exploitatie!E24</f>
        <v>1594.8033999999998</v>
      </c>
      <c r="J15" s="165">
        <f>'Overzicht '!D12+'Alternatieve schattingen'!I15</f>
        <v>14451.715</v>
      </c>
    </row>
    <row r="16" spans="2:14">
      <c r="B16" s="32" t="s">
        <v>22</v>
      </c>
      <c r="C16" s="163"/>
      <c r="D16" s="165">
        <f>'Benodigde ruimte'!D12*10%</f>
        <v>780</v>
      </c>
      <c r="E16" s="165">
        <f>D16</f>
        <v>780</v>
      </c>
      <c r="F16" s="165">
        <f>'Overzicht '!D13+'Alternatieve schattingen'!D16</f>
        <v>8580</v>
      </c>
      <c r="G16" s="165">
        <f>F16</f>
        <v>8580</v>
      </c>
      <c r="I16" s="165">
        <f>-'Benodigde ruimte'!D12</f>
        <v>-7800</v>
      </c>
      <c r="J16" s="165">
        <f>'Overzicht '!D13+'Alternatieve schattingen'!I16</f>
        <v>0</v>
      </c>
    </row>
    <row r="17" spans="2:14">
      <c r="B17" s="32" t="s">
        <v>68</v>
      </c>
      <c r="C17" s="163"/>
      <c r="D17" s="165">
        <f>(Inrichting!E78+Inrichting!E81)/15+Inrichting!G83-Inrichting!G85</f>
        <v>458.85103333333336</v>
      </c>
      <c r="E17" s="165">
        <f>D17</f>
        <v>458.85103333333336</v>
      </c>
      <c r="F17" s="165">
        <f>'Overzicht '!D14+'Alternatieve schattingen'!D17</f>
        <v>6959.3637333333336</v>
      </c>
      <c r="G17" s="165">
        <f>F17</f>
        <v>6959.3637333333336</v>
      </c>
      <c r="I17" s="165">
        <f>-Inrichting!D15</f>
        <v>-6500.5127000000002</v>
      </c>
      <c r="J17" s="165">
        <f>'Overzicht '!D14+'Alternatieve schattingen'!I17</f>
        <v>0</v>
      </c>
    </row>
    <row r="18" spans="2:14">
      <c r="B18" s="32" t="s">
        <v>26</v>
      </c>
      <c r="C18" s="163"/>
      <c r="D18" s="165">
        <v>0</v>
      </c>
      <c r="E18" s="165">
        <f>D18</f>
        <v>0</v>
      </c>
      <c r="F18" s="165">
        <f>'Overzicht '!D15+'Alternatieve schattingen'!D18</f>
        <v>1139.4050000000002</v>
      </c>
      <c r="G18" s="165">
        <f>F18</f>
        <v>1139.4050000000002</v>
      </c>
      <c r="I18" s="165"/>
      <c r="J18" s="165">
        <f>'Overzicht '!D15+'Alternatieve schattingen'!I18</f>
        <v>1139.4050000000002</v>
      </c>
    </row>
    <row r="19" spans="2:14">
      <c r="B19" s="32" t="s">
        <v>28</v>
      </c>
      <c r="C19" s="163"/>
      <c r="D19" s="165">
        <f>Rentefactor!D17/0.75*2</f>
        <v>1210.3892000000003</v>
      </c>
      <c r="E19" s="165">
        <f>D19</f>
        <v>1210.3892000000003</v>
      </c>
      <c r="F19" s="165">
        <f>'Overzicht '!D16+'Alternatieve schattingen'!D19</f>
        <v>1664.2851500000004</v>
      </c>
      <c r="G19" s="165">
        <f>F19</f>
        <v>1664.2851500000004</v>
      </c>
      <c r="I19" s="165">
        <f>-Rentefactor!D17</f>
        <v>-453.89595000000008</v>
      </c>
      <c r="J19" s="165">
        <f>'Overzicht '!D16+'Alternatieve schattingen'!I19</f>
        <v>0</v>
      </c>
    </row>
    <row r="20" spans="2:14">
      <c r="C20" s="22"/>
      <c r="I20" s="165"/>
    </row>
    <row r="21" spans="2:14">
      <c r="B21" s="32" t="s">
        <v>69</v>
      </c>
      <c r="C21" s="163"/>
      <c r="D21" s="164">
        <f>D14+SUM(D15:D19)</f>
        <v>20914.488983333333</v>
      </c>
      <c r="E21" s="164">
        <f>E14+SUM(E15:E19)</f>
        <v>21454.731983333335</v>
      </c>
      <c r="F21" s="34">
        <f>SUM(F14:F19)</f>
        <v>115848.13398333332</v>
      </c>
      <c r="G21" s="34">
        <f>SUM(G14:G19)</f>
        <v>116388.37698333334</v>
      </c>
      <c r="I21" s="164">
        <f>SUM(I14:I20)</f>
        <v>-13159.605250000001</v>
      </c>
      <c r="J21" s="164">
        <f>'Overzicht '!D18+'Alternatieve schattingen'!I21</f>
        <v>81774.039749999996</v>
      </c>
    </row>
    <row r="22" spans="2:14">
      <c r="C22" s="22"/>
    </row>
    <row r="23" spans="2:14">
      <c r="B23" s="47" t="s">
        <v>71</v>
      </c>
      <c r="C23" s="21"/>
      <c r="D23" s="34">
        <f>D21/'Overzicht '!$D$27</f>
        <v>15.854918217502297</v>
      </c>
      <c r="E23" s="34">
        <f>E21/'Overzicht '!$D$27</f>
        <v>16.264467243032108</v>
      </c>
      <c r="F23" s="34">
        <f>F21/'Overzicht '!$D$27</f>
        <v>87.82249910192435</v>
      </c>
      <c r="G23" s="34">
        <f>G21/'Overzicht '!$D$27</f>
        <v>88.232048127454163</v>
      </c>
      <c r="I23" s="164">
        <f>J23-'Overzicht '!D21</f>
        <v>10.687763206412043</v>
      </c>
      <c r="J23" s="164">
        <f>J21/('Beschikbare uren'!D20*60%)</f>
        <v>82.655344090834106</v>
      </c>
    </row>
    <row r="24" spans="2:14"/>
    <row r="25" spans="2:14">
      <c r="B25" s="166" t="s">
        <v>427</v>
      </c>
      <c r="D25" s="14">
        <f>D23/'Overzicht '!$D$21</f>
        <v>0.22030639383259049</v>
      </c>
      <c r="E25" s="14">
        <f>E23/'Overzicht '!$D$21</f>
        <v>0.22599713708805066</v>
      </c>
    </row>
    <row r="26" spans="2:14"/>
    <row r="27" spans="2:14">
      <c r="E27" s="4"/>
      <c r="H27" s="16"/>
      <c r="I27" s="16"/>
      <c r="J27" s="16"/>
      <c r="K27" s="16"/>
      <c r="L27" s="16"/>
      <c r="M27" s="16"/>
      <c r="N27" s="16"/>
    </row>
    <row r="28" spans="2:14">
      <c r="E28" s="176"/>
    </row>
    <row r="29" spans="2:14"/>
    <row r="30" spans="2:14">
      <c r="F30" s="30"/>
    </row>
    <row r="31" spans="2:14"/>
    <row r="32" spans="2:14"/>
    <row r="33"/>
  </sheetData>
  <pageMargins left="0.7" right="0.7" top="0.75" bottom="0.75" header="0.3" footer="0.3"/>
  <pageSetup paperSize="9" orientation="portrait" horizontalDpi="4294967293"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B961D1-B635-4E24-BABF-9F10EF27365A}">
  <sheetPr>
    <tabColor rgb="FF002060"/>
  </sheetPr>
  <dimension ref="A1:AX56"/>
  <sheetViews>
    <sheetView showGridLines="0" zoomScale="70" zoomScaleNormal="70" workbookViewId="0">
      <selection activeCell="F3" sqref="F3"/>
    </sheetView>
  </sheetViews>
  <sheetFormatPr defaultColWidth="0" defaultRowHeight="14.45" zeroHeight="1"/>
  <cols>
    <col min="1" max="2" width="8.7109375" customWidth="1"/>
    <col min="3" max="3" width="8.42578125" bestFit="1" customWidth="1"/>
    <col min="4" max="4" width="11.140625" bestFit="1" customWidth="1"/>
    <col min="5" max="5" width="21.5703125" bestFit="1" customWidth="1"/>
    <col min="6" max="6" width="20.85546875" bestFit="1" customWidth="1"/>
    <col min="7" max="7" width="22.42578125" bestFit="1" customWidth="1"/>
    <col min="8" max="26" width="8.7109375" customWidth="1"/>
    <col min="27" max="50" width="0" hidden="1" customWidth="1"/>
    <col min="51" max="16384" width="8.7109375" hidden="1"/>
  </cols>
  <sheetData>
    <row r="1" spans="3:50" ht="11.45" customHeight="1">
      <c r="F1" s="58"/>
      <c r="G1" s="22"/>
      <c r="H1" s="22"/>
      <c r="I1" s="22"/>
      <c r="J1" s="22"/>
      <c r="K1" s="58"/>
      <c r="M1" s="22"/>
    </row>
    <row r="2" spans="3:50">
      <c r="F2" s="84" t="s">
        <v>59</v>
      </c>
      <c r="G2" s="83"/>
      <c r="H2" s="22"/>
      <c r="I2" s="22"/>
      <c r="J2" s="22"/>
      <c r="K2" s="84" t="s">
        <v>32</v>
      </c>
      <c r="M2" s="22"/>
    </row>
    <row r="3" spans="3:50">
      <c r="F3" s="84" t="s">
        <v>2</v>
      </c>
      <c r="G3" s="83"/>
      <c r="H3" s="22"/>
      <c r="I3" s="22"/>
      <c r="J3" s="22"/>
      <c r="K3" s="58"/>
      <c r="M3" s="22"/>
    </row>
    <row r="4" spans="3:50" ht="10.5" customHeight="1">
      <c r="F4" s="58"/>
      <c r="G4" s="22"/>
      <c r="H4" s="22"/>
      <c r="I4" s="22"/>
      <c r="J4" s="22"/>
      <c r="K4" s="58"/>
      <c r="M4" s="22"/>
    </row>
    <row r="5" spans="3:50" s="57" customFormat="1" ht="6" customHeight="1"/>
    <row r="6" spans="3:50"/>
    <row r="7" spans="3:50"/>
    <row r="8" spans="3:50" ht="15" thickBot="1">
      <c r="C8" s="86" t="s">
        <v>428</v>
      </c>
      <c r="D8" s="86" t="s">
        <v>429</v>
      </c>
      <c r="E8" s="86" t="s">
        <v>430</v>
      </c>
      <c r="F8" s="86" t="s">
        <v>431</v>
      </c>
      <c r="G8" s="86" t="s">
        <v>432</v>
      </c>
    </row>
    <row r="9" spans="3:50" ht="15" thickTop="1">
      <c r="C9">
        <v>45</v>
      </c>
      <c r="D9" s="97">
        <f>'Overzicht '!$D$18/C9</f>
        <v>2109.6365555555558</v>
      </c>
      <c r="E9" s="30">
        <f t="shared" ref="E9:E49" si="0">(D9/$E$51)</f>
        <v>9.7218274449564781</v>
      </c>
      <c r="F9" s="30">
        <f t="shared" ref="F9:F49" si="1">D9/$F$51</f>
        <v>12.152284306195597</v>
      </c>
      <c r="G9" s="30">
        <f>F9*5</f>
        <v>60.761421530977984</v>
      </c>
    </row>
    <row r="10" spans="3:50">
      <c r="C10">
        <f>C9+1</f>
        <v>46</v>
      </c>
      <c r="D10" s="97">
        <f>'Overzicht '!$D$18/C10</f>
        <v>2063.7748913043479</v>
      </c>
      <c r="E10" s="30">
        <f t="shared" si="0"/>
        <v>9.5104833700661189</v>
      </c>
      <c r="F10" s="30">
        <f t="shared" si="1"/>
        <v>11.888104212582647</v>
      </c>
      <c r="G10" s="30">
        <f t="shared" ref="G10:G49" si="2">F10*5</f>
        <v>59.440521062913234</v>
      </c>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row>
    <row r="11" spans="3:50">
      <c r="C11">
        <f>C10+1</f>
        <v>47</v>
      </c>
      <c r="D11" s="97">
        <f>'Overzicht '!$D$18/C11</f>
        <v>2019.8647872340428</v>
      </c>
      <c r="E11" s="30">
        <f t="shared" si="0"/>
        <v>9.3081326600647127</v>
      </c>
      <c r="F11" s="30">
        <f t="shared" si="1"/>
        <v>11.63516582508089</v>
      </c>
      <c r="G11" s="30">
        <f t="shared" si="2"/>
        <v>58.175829125404448</v>
      </c>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row>
    <row r="12" spans="3:50">
      <c r="C12">
        <f>C11+1</f>
        <v>48</v>
      </c>
      <c r="D12" s="97">
        <f>'Overzicht '!$D$18/C12</f>
        <v>1977.7842708333335</v>
      </c>
      <c r="E12" s="30">
        <f t="shared" si="0"/>
        <v>9.1142132296466976</v>
      </c>
      <c r="F12" s="30">
        <f t="shared" si="1"/>
        <v>11.392766537058371</v>
      </c>
      <c r="G12" s="30">
        <f t="shared" si="2"/>
        <v>56.963832685291855</v>
      </c>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row>
    <row r="13" spans="3:50">
      <c r="C13">
        <f>C12+1</f>
        <v>49</v>
      </c>
      <c r="D13" s="97">
        <f>'Overzicht '!$D$18/C13</f>
        <v>1937.4213265306123</v>
      </c>
      <c r="E13" s="30">
        <f t="shared" si="0"/>
        <v>8.9282088780212554</v>
      </c>
      <c r="F13" s="30">
        <f t="shared" si="1"/>
        <v>11.160261097526567</v>
      </c>
      <c r="G13" s="30">
        <f t="shared" si="2"/>
        <v>55.801305487632831</v>
      </c>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row>
    <row r="14" spans="3:50">
      <c r="C14" s="27">
        <v>50</v>
      </c>
      <c r="D14" s="172">
        <f>'Overzicht '!$D$18/C14</f>
        <v>1898.6729</v>
      </c>
      <c r="E14" s="173">
        <f t="shared" si="0"/>
        <v>8.7496447004608289</v>
      </c>
      <c r="F14" s="173">
        <f t="shared" si="1"/>
        <v>10.937055875576036</v>
      </c>
      <c r="G14" s="173">
        <f t="shared" si="2"/>
        <v>54.685279377880178</v>
      </c>
    </row>
    <row r="15" spans="3:50">
      <c r="C15">
        <f t="shared" ref="C15:C21" si="3">C14+1</f>
        <v>51</v>
      </c>
      <c r="D15" s="97">
        <f>'Overzicht '!$D$18/C15</f>
        <v>1861.4440196078433</v>
      </c>
      <c r="E15" s="30">
        <f t="shared" si="0"/>
        <v>8.5780830396674812</v>
      </c>
      <c r="F15" s="30">
        <f t="shared" si="1"/>
        <v>10.72260379958435</v>
      </c>
      <c r="G15" s="30">
        <f t="shared" si="2"/>
        <v>53.613018997921749</v>
      </c>
    </row>
    <row r="16" spans="3:50">
      <c r="C16">
        <f t="shared" si="3"/>
        <v>52</v>
      </c>
      <c r="D16" s="97">
        <f>'Overzicht '!$D$18/C16</f>
        <v>1825.6470192307693</v>
      </c>
      <c r="E16" s="30">
        <f t="shared" si="0"/>
        <v>8.4131199042892586</v>
      </c>
      <c r="F16" s="30">
        <f t="shared" si="1"/>
        <v>10.516399880361572</v>
      </c>
      <c r="G16" s="30">
        <f t="shared" si="2"/>
        <v>52.581999401807863</v>
      </c>
    </row>
    <row r="17" spans="3:7">
      <c r="C17">
        <f t="shared" si="3"/>
        <v>53</v>
      </c>
      <c r="D17" s="97">
        <f>'Overzicht '!$D$18/C17</f>
        <v>1791.2008490566038</v>
      </c>
      <c r="E17" s="30">
        <f t="shared" si="0"/>
        <v>8.2543817928875747</v>
      </c>
      <c r="F17" s="30">
        <f t="shared" si="1"/>
        <v>10.317977241109467</v>
      </c>
      <c r="G17" s="30">
        <f t="shared" si="2"/>
        <v>51.589886205547337</v>
      </c>
    </row>
    <row r="18" spans="3:7">
      <c r="C18">
        <f t="shared" si="3"/>
        <v>54</v>
      </c>
      <c r="D18" s="97">
        <f>'Overzicht '!$D$18/C18</f>
        <v>1758.0304629629629</v>
      </c>
      <c r="E18" s="30">
        <f t="shared" si="0"/>
        <v>8.1015228707970639</v>
      </c>
      <c r="F18" s="30">
        <f t="shared" si="1"/>
        <v>10.126903588496329</v>
      </c>
      <c r="G18" s="30">
        <f t="shared" si="2"/>
        <v>50.634517942481651</v>
      </c>
    </row>
    <row r="19" spans="3:7">
      <c r="C19">
        <f t="shared" si="3"/>
        <v>55</v>
      </c>
      <c r="D19" s="97">
        <f>'Overzicht '!$D$18/C19</f>
        <v>1726.0662727272727</v>
      </c>
      <c r="E19" s="30">
        <f t="shared" si="0"/>
        <v>7.9542224549643903</v>
      </c>
      <c r="F19" s="30">
        <f t="shared" si="1"/>
        <v>9.9427780687054863</v>
      </c>
      <c r="G19" s="30">
        <f t="shared" si="2"/>
        <v>49.713890343527432</v>
      </c>
    </row>
    <row r="20" spans="3:7">
      <c r="C20">
        <f t="shared" si="3"/>
        <v>56</v>
      </c>
      <c r="D20" s="97">
        <f>'Overzicht '!$D$18/C20</f>
        <v>1695.2436607142859</v>
      </c>
      <c r="E20" s="30">
        <f t="shared" si="0"/>
        <v>7.812182768268598</v>
      </c>
      <c r="F20" s="30">
        <f t="shared" si="1"/>
        <v>9.7652284603357469</v>
      </c>
      <c r="G20" s="30">
        <f t="shared" si="2"/>
        <v>48.826142301678736</v>
      </c>
    </row>
    <row r="21" spans="3:7">
      <c r="C21">
        <f t="shared" si="3"/>
        <v>57</v>
      </c>
      <c r="D21" s="97">
        <f>'Overzicht '!$D$18/C21</f>
        <v>1665.5025438596492</v>
      </c>
      <c r="E21" s="30">
        <f t="shared" si="0"/>
        <v>7.6751269302287985</v>
      </c>
      <c r="F21" s="30">
        <f t="shared" si="1"/>
        <v>9.5939086627859957</v>
      </c>
      <c r="G21" s="30">
        <f t="shared" si="2"/>
        <v>47.969543313929975</v>
      </c>
    </row>
    <row r="22" spans="3:7">
      <c r="C22">
        <f t="shared" ref="C22:C49" si="4">C21+1</f>
        <v>58</v>
      </c>
      <c r="D22" s="97">
        <f>'Overzicht '!$D$18/C22</f>
        <v>1636.7869827586208</v>
      </c>
      <c r="E22" s="30">
        <f t="shared" si="0"/>
        <v>7.5427971555696809</v>
      </c>
      <c r="F22" s="30">
        <f t="shared" si="1"/>
        <v>9.4284964444621</v>
      </c>
      <c r="G22" s="30">
        <f t="shared" si="2"/>
        <v>47.142482222310498</v>
      </c>
    </row>
    <row r="23" spans="3:7">
      <c r="C23">
        <f t="shared" si="4"/>
        <v>59</v>
      </c>
      <c r="D23" s="97">
        <f>'Overzicht '!$D$18/C23</f>
        <v>1609.0448305084747</v>
      </c>
      <c r="E23" s="30">
        <f t="shared" si="0"/>
        <v>7.4149531359837546</v>
      </c>
      <c r="F23" s="30">
        <f t="shared" si="1"/>
        <v>9.2686914199796924</v>
      </c>
      <c r="G23" s="30">
        <f t="shared" si="2"/>
        <v>46.343457099898458</v>
      </c>
    </row>
    <row r="24" spans="3:7">
      <c r="C24">
        <f t="shared" si="4"/>
        <v>60</v>
      </c>
      <c r="D24" s="97">
        <f>'Overzicht '!$D$18/C24</f>
        <v>1582.2274166666668</v>
      </c>
      <c r="E24" s="30">
        <f t="shared" si="0"/>
        <v>7.2913705837173586</v>
      </c>
      <c r="F24" s="30">
        <f t="shared" si="1"/>
        <v>9.1142132296466976</v>
      </c>
      <c r="G24" s="30">
        <f t="shared" si="2"/>
        <v>45.571066148233484</v>
      </c>
    </row>
    <row r="25" spans="3:7">
      <c r="C25">
        <f t="shared" si="4"/>
        <v>61</v>
      </c>
      <c r="D25" s="97">
        <f>'Overzicht '!$D$18/C25</f>
        <v>1556.2892622950819</v>
      </c>
      <c r="E25" s="30">
        <f t="shared" si="0"/>
        <v>7.1718399184105159</v>
      </c>
      <c r="F25" s="30">
        <f t="shared" si="1"/>
        <v>8.964799898013144</v>
      </c>
      <c r="G25" s="30">
        <f t="shared" si="2"/>
        <v>44.823999490065717</v>
      </c>
    </row>
    <row r="26" spans="3:7">
      <c r="C26">
        <f t="shared" si="4"/>
        <v>62</v>
      </c>
      <c r="D26" s="97">
        <f>'Overzicht '!$D$18/C26</f>
        <v>1531.1878225806452</v>
      </c>
      <c r="E26" s="30">
        <f t="shared" si="0"/>
        <v>7.0561650810167977</v>
      </c>
      <c r="F26" s="30">
        <f t="shared" si="1"/>
        <v>8.8202063512709969</v>
      </c>
      <c r="G26" s="30">
        <f t="shared" si="2"/>
        <v>44.101031756354985</v>
      </c>
    </row>
    <row r="27" spans="3:7">
      <c r="C27">
        <f t="shared" si="4"/>
        <v>63</v>
      </c>
      <c r="D27" s="97">
        <f>'Overzicht '!$D$18/C27</f>
        <v>1506.8832539682539</v>
      </c>
      <c r="E27" s="30">
        <f t="shared" si="0"/>
        <v>6.9441624606831978</v>
      </c>
      <c r="F27" s="30">
        <f t="shared" si="1"/>
        <v>8.6802030758539956</v>
      </c>
      <c r="G27" s="30">
        <f t="shared" si="2"/>
        <v>43.401015379269978</v>
      </c>
    </row>
    <row r="28" spans="3:7">
      <c r="C28">
        <f t="shared" si="4"/>
        <v>64</v>
      </c>
      <c r="D28" s="97">
        <f>'Overzicht '!$D$18/C28</f>
        <v>1483.3382031250001</v>
      </c>
      <c r="E28" s="30">
        <f t="shared" si="0"/>
        <v>6.8356599222350232</v>
      </c>
      <c r="F28" s="30">
        <f t="shared" si="1"/>
        <v>8.5445749027937783</v>
      </c>
      <c r="G28" s="30">
        <f t="shared" si="2"/>
        <v>42.72287451396889</v>
      </c>
    </row>
    <row r="29" spans="3:7">
      <c r="C29">
        <f t="shared" si="4"/>
        <v>65</v>
      </c>
      <c r="D29" s="97">
        <f>'Overzicht '!$D$18/C29</f>
        <v>1460.5176153846155</v>
      </c>
      <c r="E29" s="30">
        <f t="shared" si="0"/>
        <v>6.7304959234314081</v>
      </c>
      <c r="F29" s="30">
        <f t="shared" si="1"/>
        <v>8.4131199042892586</v>
      </c>
      <c r="G29" s="30">
        <f t="shared" si="2"/>
        <v>42.065599521446295</v>
      </c>
    </row>
    <row r="30" spans="3:7">
      <c r="C30">
        <f t="shared" si="4"/>
        <v>66</v>
      </c>
      <c r="D30" s="97">
        <f>'Overzicht '!$D$18/C30</f>
        <v>1438.3885606060608</v>
      </c>
      <c r="E30" s="30">
        <f t="shared" si="0"/>
        <v>6.628518712470326</v>
      </c>
      <c r="F30" s="30">
        <f t="shared" si="1"/>
        <v>8.285648390587907</v>
      </c>
      <c r="G30" s="30">
        <f t="shared" si="2"/>
        <v>41.428241952939537</v>
      </c>
    </row>
    <row r="31" spans="3:7">
      <c r="C31">
        <f>C30+1</f>
        <v>67</v>
      </c>
      <c r="D31" s="97">
        <f>'Overzicht '!$D$18/C31</f>
        <v>1416.9200746268657</v>
      </c>
      <c r="E31" s="30">
        <f t="shared" si="0"/>
        <v>6.5295855973588282</v>
      </c>
      <c r="F31" s="30">
        <f t="shared" si="1"/>
        <v>8.1619819966985343</v>
      </c>
      <c r="G31" s="30">
        <f t="shared" si="2"/>
        <v>40.809909983492673</v>
      </c>
    </row>
    <row r="32" spans="3:7">
      <c r="C32">
        <f t="shared" si="4"/>
        <v>68</v>
      </c>
      <c r="D32" s="97">
        <f>'Overzicht '!$D$18/C32</f>
        <v>1396.0830147058823</v>
      </c>
      <c r="E32" s="30">
        <f t="shared" si="0"/>
        <v>6.4335622797506096</v>
      </c>
      <c r="F32" s="30">
        <f t="shared" si="1"/>
        <v>8.0419528496882613</v>
      </c>
      <c r="G32" s="30">
        <f t="shared" si="2"/>
        <v>40.209764248441303</v>
      </c>
    </row>
    <row r="33" spans="3:7">
      <c r="C33">
        <f t="shared" si="4"/>
        <v>69</v>
      </c>
      <c r="D33" s="97">
        <f>'Overzicht '!$D$18/C33</f>
        <v>1375.8499275362319</v>
      </c>
      <c r="E33" s="30">
        <f t="shared" si="0"/>
        <v>6.3403222467107465</v>
      </c>
      <c r="F33" s="30">
        <f t="shared" si="1"/>
        <v>7.9254028083884318</v>
      </c>
      <c r="G33" s="30">
        <f t="shared" si="2"/>
        <v>39.627014041942161</v>
      </c>
    </row>
    <row r="34" spans="3:7">
      <c r="C34">
        <f t="shared" si="4"/>
        <v>70</v>
      </c>
      <c r="D34" s="97">
        <f>'Overzicht '!$D$18/C34</f>
        <v>1356.1949285714286</v>
      </c>
      <c r="E34" s="30">
        <f t="shared" si="0"/>
        <v>6.2497462146148779</v>
      </c>
      <c r="F34" s="30">
        <f t="shared" si="1"/>
        <v>7.8121827682685971</v>
      </c>
      <c r="G34" s="30">
        <f t="shared" si="2"/>
        <v>39.060913841342987</v>
      </c>
    </row>
    <row r="35" spans="3:7">
      <c r="C35">
        <f t="shared" si="4"/>
        <v>71</v>
      </c>
      <c r="D35" s="97">
        <f>'Overzicht '!$D$18/C35</f>
        <v>1337.0935915492958</v>
      </c>
      <c r="E35" s="30">
        <f t="shared" si="0"/>
        <v>6.1617216200428375</v>
      </c>
      <c r="F35" s="30">
        <f t="shared" si="1"/>
        <v>7.7021520250535458</v>
      </c>
      <c r="G35" s="30">
        <f t="shared" si="2"/>
        <v>38.51076012526773</v>
      </c>
    </row>
    <row r="36" spans="3:7">
      <c r="C36" s="27">
        <f t="shared" si="4"/>
        <v>72</v>
      </c>
      <c r="D36" s="172">
        <f>'Overzicht '!$D$18/C36</f>
        <v>1318.5228472222223</v>
      </c>
      <c r="E36" s="173">
        <f t="shared" si="0"/>
        <v>6.0761421530977984</v>
      </c>
      <c r="F36" s="173">
        <f t="shared" si="1"/>
        <v>7.5951776913722471</v>
      </c>
      <c r="G36" s="173">
        <f t="shared" si="2"/>
        <v>37.975888456861234</v>
      </c>
    </row>
    <row r="37" spans="3:7">
      <c r="C37">
        <f t="shared" si="4"/>
        <v>73</v>
      </c>
      <c r="D37" s="97">
        <f>'Overzicht '!$D$18/C37</f>
        <v>1300.4608904109589</v>
      </c>
      <c r="E37" s="30">
        <f t="shared" si="0"/>
        <v>5.9929073290827599</v>
      </c>
      <c r="F37" s="30">
        <f t="shared" si="1"/>
        <v>7.4911341613534486</v>
      </c>
      <c r="G37" s="30">
        <f t="shared" si="2"/>
        <v>37.455670806767245</v>
      </c>
    </row>
    <row r="38" spans="3:7">
      <c r="C38">
        <f t="shared" si="4"/>
        <v>74</v>
      </c>
      <c r="D38" s="97">
        <f>'Overzicht '!$D$18/C38</f>
        <v>1282.8870945945946</v>
      </c>
      <c r="E38" s="30">
        <f t="shared" si="0"/>
        <v>5.9119220949059663</v>
      </c>
      <c r="F38" s="30">
        <f t="shared" si="1"/>
        <v>7.3899026186324566</v>
      </c>
      <c r="G38" s="30">
        <f t="shared" si="2"/>
        <v>36.949513093162281</v>
      </c>
    </row>
    <row r="39" spans="3:7">
      <c r="C39">
        <f t="shared" si="4"/>
        <v>75</v>
      </c>
      <c r="D39" s="97">
        <f>'Overzicht '!$D$18/C39</f>
        <v>1265.7819333333334</v>
      </c>
      <c r="E39" s="30">
        <f t="shared" si="0"/>
        <v>5.8330964669738865</v>
      </c>
      <c r="F39" s="30">
        <f t="shared" si="1"/>
        <v>7.2913705837173577</v>
      </c>
      <c r="G39" s="30">
        <f t="shared" si="2"/>
        <v>36.45685291858679</v>
      </c>
    </row>
    <row r="40" spans="3:7">
      <c r="C40">
        <f>C39+1</f>
        <v>76</v>
      </c>
      <c r="D40" s="97">
        <f>'Overzicht '!$D$18/C40</f>
        <v>1249.1269078947369</v>
      </c>
      <c r="E40" s="30">
        <f t="shared" si="0"/>
        <v>5.7563451976715987</v>
      </c>
      <c r="F40" s="30">
        <f t="shared" si="1"/>
        <v>7.1954314970894968</v>
      </c>
      <c r="G40" s="30">
        <f t="shared" si="2"/>
        <v>35.977157485447485</v>
      </c>
    </row>
    <row r="41" spans="3:7">
      <c r="C41">
        <f t="shared" si="4"/>
        <v>77</v>
      </c>
      <c r="D41" s="97">
        <f>'Overzicht '!$D$18/C41</f>
        <v>1232.9044805194806</v>
      </c>
      <c r="E41" s="30">
        <f t="shared" si="0"/>
        <v>5.681587467831708</v>
      </c>
      <c r="F41" s="30">
        <f t="shared" si="1"/>
        <v>7.1019843347896332</v>
      </c>
      <c r="G41" s="30">
        <f t="shared" si="2"/>
        <v>35.509921673948163</v>
      </c>
    </row>
    <row r="42" spans="3:7">
      <c r="C42">
        <f t="shared" si="4"/>
        <v>78</v>
      </c>
      <c r="D42" s="97">
        <f>'Overzicht '!$D$18/C42</f>
        <v>1217.0980128205128</v>
      </c>
      <c r="E42" s="30">
        <f t="shared" si="0"/>
        <v>5.6087466028595063</v>
      </c>
      <c r="F42" s="30">
        <f t="shared" si="1"/>
        <v>7.0109332535743816</v>
      </c>
      <c r="G42" s="30">
        <f t="shared" si="2"/>
        <v>35.054666267871909</v>
      </c>
    </row>
    <row r="43" spans="3:7">
      <c r="C43">
        <f t="shared" si="4"/>
        <v>79</v>
      </c>
      <c r="D43" s="97">
        <f>'Overzicht '!$D$18/C43</f>
        <v>1201.6917088607595</v>
      </c>
      <c r="E43" s="30">
        <f t="shared" si="0"/>
        <v>5.5377498104182461</v>
      </c>
      <c r="F43" s="30">
        <f t="shared" si="1"/>
        <v>6.9221872630228072</v>
      </c>
      <c r="G43" s="30">
        <f t="shared" si="2"/>
        <v>34.610936315114039</v>
      </c>
    </row>
    <row r="44" spans="3:7">
      <c r="C44">
        <f t="shared" si="4"/>
        <v>80</v>
      </c>
      <c r="D44" s="97">
        <f>'Overzicht '!$D$18/C44</f>
        <v>1186.6705625</v>
      </c>
      <c r="E44" s="30">
        <f t="shared" si="0"/>
        <v>5.4685279377880178</v>
      </c>
      <c r="F44" s="30">
        <f t="shared" si="1"/>
        <v>6.8356599222350223</v>
      </c>
      <c r="G44" s="30">
        <f t="shared" si="2"/>
        <v>34.178299611175113</v>
      </c>
    </row>
    <row r="45" spans="3:7">
      <c r="C45">
        <f t="shared" si="4"/>
        <v>81</v>
      </c>
      <c r="D45" s="97">
        <f>'Overzicht '!$D$18/C45</f>
        <v>1172.0203086419754</v>
      </c>
      <c r="E45" s="30">
        <f t="shared" si="0"/>
        <v>5.4010152471980435</v>
      </c>
      <c r="F45" s="30">
        <f t="shared" si="1"/>
        <v>6.7512690589975533</v>
      </c>
      <c r="G45" s="30">
        <f t="shared" si="2"/>
        <v>33.756345294987767</v>
      </c>
    </row>
    <row r="46" spans="3:7">
      <c r="C46">
        <f t="shared" si="4"/>
        <v>82</v>
      </c>
      <c r="D46" s="97">
        <f>'Overzicht '!$D$18/C46</f>
        <v>1157.7273780487806</v>
      </c>
      <c r="E46" s="30">
        <f t="shared" si="0"/>
        <v>5.3351492075980671</v>
      </c>
      <c r="F46" s="30">
        <f t="shared" si="1"/>
        <v>6.6689365094975832</v>
      </c>
      <c r="G46" s="30">
        <f t="shared" si="2"/>
        <v>33.344682547487913</v>
      </c>
    </row>
    <row r="47" spans="3:7">
      <c r="C47">
        <f t="shared" si="4"/>
        <v>83</v>
      </c>
      <c r="D47" s="97">
        <f>'Overzicht '!$D$18/C47</f>
        <v>1143.7788554216868</v>
      </c>
      <c r="E47" s="30">
        <f t="shared" si="0"/>
        <v>5.2708703014824279</v>
      </c>
      <c r="F47" s="30">
        <f t="shared" si="1"/>
        <v>6.5885878768530333</v>
      </c>
      <c r="G47" s="30">
        <f t="shared" si="2"/>
        <v>32.942939384265166</v>
      </c>
    </row>
    <row r="48" spans="3:7">
      <c r="C48">
        <f t="shared" si="4"/>
        <v>84</v>
      </c>
      <c r="D48" s="97">
        <f>'Overzicht '!$D$18/C48</f>
        <v>1130.1624404761906</v>
      </c>
      <c r="E48" s="30">
        <f t="shared" si="0"/>
        <v>5.208121845512399</v>
      </c>
      <c r="F48" s="30">
        <f t="shared" si="1"/>
        <v>6.5101523068904976</v>
      </c>
      <c r="G48" s="30">
        <f t="shared" si="2"/>
        <v>32.550761534452491</v>
      </c>
    </row>
    <row r="49" spans="2:7">
      <c r="C49">
        <f t="shared" si="4"/>
        <v>85</v>
      </c>
      <c r="D49" s="97">
        <f>'Overzicht '!$D$18/C49</f>
        <v>1116.8664117647058</v>
      </c>
      <c r="E49" s="30">
        <f t="shared" si="0"/>
        <v>5.1468498238004878</v>
      </c>
      <c r="F49" s="30">
        <f t="shared" si="1"/>
        <v>6.4335622797506087</v>
      </c>
      <c r="G49" s="30">
        <f t="shared" si="2"/>
        <v>32.167811398753045</v>
      </c>
    </row>
    <row r="50" spans="2:7"/>
    <row r="51" spans="2:7">
      <c r="B51" t="s">
        <v>433</v>
      </c>
      <c r="E51">
        <v>217</v>
      </c>
      <c r="F51">
        <f>E51*80%</f>
        <v>173.60000000000002</v>
      </c>
    </row>
    <row r="52" spans="2:7"/>
    <row r="53" spans="2:7"/>
    <row r="54" spans="2:7"/>
    <row r="55" spans="2:7"/>
    <row r="56" spans="2:7"/>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4F15ED-10DF-4E87-A6FB-05D256F4181A}">
  <sheetPr>
    <tabColor rgb="FF002060"/>
  </sheetPr>
  <dimension ref="C1:X51"/>
  <sheetViews>
    <sheetView showGridLines="0" zoomScale="115" zoomScaleNormal="115" workbookViewId="0">
      <selection activeCell="D3" sqref="D3"/>
    </sheetView>
  </sheetViews>
  <sheetFormatPr defaultRowHeight="14.45" zeroHeight="1"/>
  <cols>
    <col min="3" max="3" width="33.42578125" bestFit="1" customWidth="1"/>
    <col min="4" max="7" width="15.5703125" customWidth="1"/>
    <col min="8" max="8" width="15.7109375" customWidth="1"/>
    <col min="9" max="9" width="12.28515625" bestFit="1" customWidth="1"/>
    <col min="10" max="10" width="9.5703125" bestFit="1" customWidth="1"/>
    <col min="11" max="14" width="10.85546875" bestFit="1" customWidth="1"/>
    <col min="15" max="17" width="10.85546875" customWidth="1"/>
    <col min="18" max="19" width="9.7109375" bestFit="1" customWidth="1"/>
    <col min="20" max="20" width="11.85546875" bestFit="1" customWidth="1"/>
  </cols>
  <sheetData>
    <row r="1" spans="3:24" ht="11.45" customHeight="1">
      <c r="D1" s="58"/>
      <c r="E1" s="22"/>
      <c r="F1" s="22"/>
      <c r="G1" s="22"/>
      <c r="H1" s="22"/>
      <c r="I1" s="58"/>
      <c r="M1" s="22"/>
    </row>
    <row r="2" spans="3:24">
      <c r="D2" s="84" t="s">
        <v>59</v>
      </c>
      <c r="E2" s="83"/>
      <c r="F2" s="22"/>
      <c r="G2" s="22"/>
      <c r="H2" s="22"/>
      <c r="I2" s="84" t="s">
        <v>60</v>
      </c>
      <c r="M2" s="22"/>
    </row>
    <row r="3" spans="3:24">
      <c r="D3" s="84" t="s">
        <v>2</v>
      </c>
      <c r="E3" s="83"/>
      <c r="F3" s="22"/>
      <c r="G3" s="22"/>
      <c r="H3" s="22"/>
      <c r="I3" s="58"/>
      <c r="M3" s="22"/>
    </row>
    <row r="4" spans="3:24" ht="10.5" customHeight="1">
      <c r="D4" s="58"/>
      <c r="E4" s="22"/>
      <c r="F4" s="22"/>
      <c r="G4" s="22"/>
      <c r="H4" s="22"/>
      <c r="I4" s="58"/>
      <c r="M4" s="22"/>
    </row>
    <row r="5" spans="3:24" s="57" customFormat="1" ht="6" customHeight="1"/>
    <row r="6" spans="3:24"/>
    <row r="7" spans="3:24">
      <c r="E7" s="30"/>
    </row>
    <row r="8" spans="3:24">
      <c r="D8" s="11" t="s">
        <v>61</v>
      </c>
      <c r="E8" s="11" t="s">
        <v>62</v>
      </c>
      <c r="F8" s="11" t="s">
        <v>63</v>
      </c>
      <c r="G8" s="11" t="s">
        <v>64</v>
      </c>
      <c r="I8" s="175" t="s">
        <v>65</v>
      </c>
      <c r="J8" s="168"/>
      <c r="K8" s="167"/>
      <c r="L8" s="167"/>
      <c r="M8" s="167"/>
      <c r="N8" s="167"/>
      <c r="O8" s="167"/>
    </row>
    <row r="9" spans="3:24">
      <c r="D9" s="12">
        <v>2021</v>
      </c>
      <c r="E9" s="12">
        <v>2014</v>
      </c>
      <c r="F9" s="12">
        <v>2008</v>
      </c>
      <c r="G9" s="12">
        <v>1990</v>
      </c>
      <c r="I9" s="168"/>
      <c r="J9" s="168"/>
      <c r="K9" s="168"/>
      <c r="L9" s="168"/>
      <c r="M9" s="168"/>
      <c r="N9" s="168"/>
      <c r="O9" s="168"/>
    </row>
    <row r="10" spans="3:24">
      <c r="I10" s="168"/>
      <c r="J10" s="168"/>
      <c r="K10" s="168"/>
      <c r="L10" s="168"/>
      <c r="M10" s="168"/>
      <c r="N10" s="168"/>
      <c r="O10" s="168"/>
    </row>
    <row r="11" spans="3:24">
      <c r="C11" s="32" t="s">
        <v>18</v>
      </c>
      <c r="D11" s="38">
        <f>Loon!D24</f>
        <v>66182.919750000001</v>
      </c>
      <c r="E11" s="33">
        <v>46036.84</v>
      </c>
      <c r="F11" s="33">
        <v>42627</v>
      </c>
      <c r="G11" s="33">
        <v>28417.8</v>
      </c>
      <c r="I11" s="170">
        <f>D11/E11-1</f>
        <v>0.43760778867533068</v>
      </c>
      <c r="J11" s="170" t="s">
        <v>66</v>
      </c>
      <c r="K11" s="168"/>
      <c r="L11" s="168"/>
      <c r="M11" s="168"/>
      <c r="N11" s="168"/>
      <c r="O11" s="168"/>
    </row>
    <row r="12" spans="3:24">
      <c r="C12" s="32" t="s">
        <v>20</v>
      </c>
      <c r="D12" s="38">
        <f>Exploitatie!E26</f>
        <v>12856.911599999999</v>
      </c>
      <c r="E12" s="33">
        <v>18981.59</v>
      </c>
      <c r="F12" s="33">
        <v>15430</v>
      </c>
      <c r="G12" s="33">
        <v>11717.03</v>
      </c>
      <c r="I12" s="170">
        <f>SUM(D12:D16)/SUM(E12:E16)-1</f>
        <v>-0.12928621896248682</v>
      </c>
      <c r="J12" s="170" t="s">
        <v>67</v>
      </c>
      <c r="K12" s="168"/>
      <c r="L12" s="168"/>
      <c r="M12" s="168"/>
      <c r="N12" s="168"/>
      <c r="O12" s="168"/>
      <c r="R12" s="130"/>
      <c r="S12" s="130"/>
      <c r="T12" s="130"/>
      <c r="U12" s="131"/>
      <c r="V12" s="131"/>
      <c r="W12" s="131"/>
      <c r="X12" s="131"/>
    </row>
    <row r="13" spans="3:24">
      <c r="C13" s="32" t="s">
        <v>22</v>
      </c>
      <c r="D13" s="38">
        <f>'Benodigde ruimte'!D12</f>
        <v>7800</v>
      </c>
      <c r="E13" s="33">
        <v>7199.42</v>
      </c>
      <c r="F13" s="33">
        <v>9000</v>
      </c>
      <c r="G13" s="33">
        <v>2897.88</v>
      </c>
      <c r="I13" s="169"/>
      <c r="J13" s="170"/>
      <c r="K13" s="168"/>
      <c r="L13" s="168"/>
      <c r="M13" s="168"/>
      <c r="N13" s="168"/>
      <c r="O13" s="168"/>
      <c r="R13" s="131"/>
      <c r="S13" s="131"/>
      <c r="T13" s="131"/>
      <c r="U13" s="131"/>
      <c r="V13" s="131"/>
      <c r="W13" s="131"/>
      <c r="X13" s="131"/>
    </row>
    <row r="14" spans="3:24">
      <c r="C14" s="32" t="s">
        <v>68</v>
      </c>
      <c r="D14" s="38">
        <f>Inrichting!D15</f>
        <v>6500.5127000000002</v>
      </c>
      <c r="E14" s="33">
        <v>5131.28</v>
      </c>
      <c r="F14" s="33">
        <v>4142</v>
      </c>
      <c r="G14" s="33">
        <v>2395.02</v>
      </c>
      <c r="I14" s="169"/>
      <c r="J14" s="170"/>
      <c r="K14" s="168"/>
      <c r="L14" s="168"/>
      <c r="M14" s="168"/>
      <c r="N14" s="168"/>
      <c r="O14" s="168"/>
      <c r="R14" s="132"/>
      <c r="S14" s="132"/>
      <c r="T14" s="132"/>
      <c r="U14" s="133"/>
      <c r="V14" s="133"/>
      <c r="W14" s="133"/>
      <c r="X14" s="133"/>
    </row>
    <row r="15" spans="3:24">
      <c r="C15" s="32" t="s">
        <v>26</v>
      </c>
      <c r="D15" s="38">
        <f>'Klein instrumentarium'!F26</f>
        <v>1139.4050000000002</v>
      </c>
      <c r="E15" s="33">
        <v>682.43</v>
      </c>
      <c r="F15" s="33">
        <v>513</v>
      </c>
      <c r="G15" s="33">
        <v>421.25</v>
      </c>
      <c r="I15" s="169"/>
      <c r="J15" s="170"/>
      <c r="K15" s="168"/>
      <c r="L15" s="168"/>
      <c r="M15" s="168"/>
      <c r="N15" s="168"/>
      <c r="O15" s="168"/>
    </row>
    <row r="16" spans="3:24">
      <c r="C16" s="32" t="s">
        <v>28</v>
      </c>
      <c r="D16" s="38">
        <f>Rentefactor!D17</f>
        <v>453.89595000000008</v>
      </c>
      <c r="E16" s="33">
        <v>1025</v>
      </c>
      <c r="F16" s="33">
        <v>1025</v>
      </c>
      <c r="G16" s="33">
        <v>2655.51</v>
      </c>
      <c r="I16" s="169"/>
      <c r="J16" s="170"/>
      <c r="K16" s="168"/>
      <c r="L16" s="168"/>
      <c r="M16" s="168"/>
      <c r="N16" s="168"/>
      <c r="O16" s="168"/>
    </row>
    <row r="17" spans="3:15">
      <c r="E17" s="8"/>
      <c r="F17" s="8"/>
      <c r="G17" s="8"/>
      <c r="I17" s="168"/>
      <c r="J17" s="168"/>
      <c r="K17" s="168"/>
      <c r="L17" s="168"/>
      <c r="M17" s="168"/>
      <c r="N17" s="168"/>
      <c r="O17" s="168"/>
    </row>
    <row r="18" spans="3:15">
      <c r="C18" s="32" t="s">
        <v>69</v>
      </c>
      <c r="D18" s="34">
        <f>SUM(D11:D16)</f>
        <v>94933.645000000004</v>
      </c>
      <c r="E18" s="31">
        <f>SUM(E11:E16)</f>
        <v>79056.559999999983</v>
      </c>
      <c r="F18" s="31">
        <f>SUM(F11:F16)</f>
        <v>72737</v>
      </c>
      <c r="G18" s="31">
        <f>SUM(G11:G16)</f>
        <v>48504.49</v>
      </c>
      <c r="I18" s="170">
        <f>D18/E18-1</f>
        <v>0.20083197396901697</v>
      </c>
      <c r="J18" s="168"/>
      <c r="K18" s="168"/>
      <c r="L18" s="168"/>
      <c r="M18" s="168"/>
      <c r="N18" s="168"/>
      <c r="O18" s="168"/>
    </row>
    <row r="19" spans="3:15">
      <c r="I19" s="168"/>
      <c r="J19" s="168"/>
      <c r="K19" s="168"/>
      <c r="L19" s="168"/>
      <c r="M19" s="168"/>
      <c r="N19" s="168"/>
      <c r="O19" s="168"/>
    </row>
    <row r="20" spans="3:15">
      <c r="C20" t="s">
        <v>70</v>
      </c>
      <c r="E20" s="8"/>
      <c r="F20" s="13"/>
      <c r="G20" s="13"/>
      <c r="I20" s="168"/>
      <c r="J20" s="168"/>
      <c r="K20" s="168"/>
      <c r="L20" s="168"/>
      <c r="M20" s="168"/>
      <c r="N20" s="168"/>
      <c r="O20" s="168"/>
    </row>
    <row r="21" spans="3:15">
      <c r="C21" s="29" t="s">
        <v>71</v>
      </c>
      <c r="D21" s="35">
        <f>D18/D27</f>
        <v>71.967580884422063</v>
      </c>
      <c r="E21" s="31">
        <v>57.96</v>
      </c>
      <c r="F21" s="31">
        <v>50.52</v>
      </c>
      <c r="G21" s="31">
        <v>33.119999999999997</v>
      </c>
      <c r="I21" s="170">
        <f>D21/E21-1</f>
        <v>0.24167668882715776</v>
      </c>
      <c r="J21" s="168"/>
      <c r="K21" s="168"/>
      <c r="L21" s="168"/>
      <c r="M21" s="168"/>
      <c r="N21" s="168"/>
      <c r="O21" s="168"/>
    </row>
    <row r="22" spans="3:15">
      <c r="I22" s="168"/>
      <c r="J22" s="168"/>
      <c r="K22" s="168"/>
      <c r="L22" s="168"/>
      <c r="M22" s="168"/>
      <c r="N22" s="168"/>
      <c r="O22" s="168"/>
    </row>
    <row r="23" spans="3:15">
      <c r="I23" s="168"/>
      <c r="J23" s="168"/>
      <c r="K23" s="168"/>
      <c r="L23" s="168"/>
      <c r="M23" s="168"/>
      <c r="N23" s="168"/>
      <c r="O23" s="168"/>
    </row>
    <row r="24" spans="3:15">
      <c r="C24" t="s">
        <v>72</v>
      </c>
      <c r="I24" s="168"/>
      <c r="J24" s="168"/>
      <c r="K24" s="168"/>
      <c r="L24" s="168"/>
      <c r="M24" s="168"/>
      <c r="N24" s="168"/>
      <c r="O24" s="168"/>
    </row>
    <row r="25" spans="3:15">
      <c r="C25" t="s">
        <v>73</v>
      </c>
      <c r="D25" s="28">
        <f>'Beschikbare uren'!D20</f>
        <v>1648.896</v>
      </c>
      <c r="E25" s="7">
        <f>F25</f>
        <v>1722.2399999999998</v>
      </c>
      <c r="F25" s="7">
        <f>G25</f>
        <v>1722.2399999999998</v>
      </c>
      <c r="G25" s="7">
        <v>1722.2399999999998</v>
      </c>
      <c r="J25" s="14"/>
    </row>
    <row r="26" spans="3:15">
      <c r="C26" t="s">
        <v>74</v>
      </c>
      <c r="D26">
        <v>2</v>
      </c>
      <c r="E26">
        <v>2</v>
      </c>
      <c r="F26">
        <v>2</v>
      </c>
      <c r="G26">
        <v>2</v>
      </c>
      <c r="J26" s="30"/>
    </row>
    <row r="27" spans="3:15">
      <c r="C27" t="s">
        <v>75</v>
      </c>
      <c r="D27" s="28">
        <f>'Beschikbare uren'!D22</f>
        <v>1319.1168</v>
      </c>
      <c r="E27" s="162">
        <f>E18/E21</f>
        <v>1363.9848171152516</v>
      </c>
      <c r="F27" s="162">
        <f>F18/F21</f>
        <v>1439.7664291369754</v>
      </c>
      <c r="G27" s="2">
        <f>G25*G28</f>
        <v>1463.9039999999998</v>
      </c>
    </row>
    <row r="28" spans="3:15">
      <c r="C28" t="s">
        <v>76</v>
      </c>
      <c r="D28" s="9">
        <f>D27/D25</f>
        <v>0.8</v>
      </c>
      <c r="E28" s="14">
        <f>E27/E25</f>
        <v>0.79198300882295836</v>
      </c>
      <c r="F28" s="14">
        <f>F27/F25</f>
        <v>0.83598478094631157</v>
      </c>
      <c r="G28" s="9">
        <v>0.85</v>
      </c>
    </row>
    <row r="29" spans="3:15">
      <c r="E29" s="14"/>
      <c r="F29" s="14"/>
      <c r="G29" s="14"/>
    </row>
    <row r="30" spans="3:15">
      <c r="C30" t="s">
        <v>77</v>
      </c>
    </row>
    <row r="31" spans="3:15">
      <c r="C31" t="s">
        <v>78</v>
      </c>
      <c r="D31" s="97">
        <f>SUM(D12:D16)</f>
        <v>28750.725249999996</v>
      </c>
      <c r="E31" s="97">
        <f>SUM(E12:E16)</f>
        <v>33019.72</v>
      </c>
      <c r="F31" s="97">
        <f>SUM(F12:F16)</f>
        <v>30110</v>
      </c>
      <c r="G31" s="97">
        <f>SUM(G12:G16)</f>
        <v>20086.690000000002</v>
      </c>
    </row>
    <row r="32" spans="3:15">
      <c r="C32" t="s">
        <v>18</v>
      </c>
      <c r="D32" s="97">
        <f>D11</f>
        <v>66182.919750000001</v>
      </c>
      <c r="E32" s="97">
        <f>E11</f>
        <v>46036.84</v>
      </c>
      <c r="F32" s="97">
        <f>F11</f>
        <v>42627</v>
      </c>
      <c r="G32" s="97">
        <f>G11</f>
        <v>28417.8</v>
      </c>
    </row>
    <row r="33"/>
    <row r="34"/>
    <row r="35"/>
    <row r="36"/>
    <row r="37"/>
    <row r="38"/>
    <row r="39"/>
    <row r="40"/>
    <row r="50" spans="4:4" hidden="1">
      <c r="D50" s="10"/>
    </row>
    <row r="51" spans="4:4" hidden="1">
      <c r="D51" s="10"/>
    </row>
  </sheetData>
  <pageMargins left="0.7" right="0.7" top="0.75" bottom="0.75" header="0.3" footer="0.3"/>
  <pageSetup paperSize="9" orientation="portrait" horizontalDpi="4294967293"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0D5D2D-5051-49EF-AA38-194537E352EE}">
  <sheetPr>
    <tabColor theme="4" tint="-0.249977111117893"/>
  </sheetPr>
  <dimension ref="B1:I32"/>
  <sheetViews>
    <sheetView showGridLines="0" workbookViewId="0">
      <selection activeCell="L10" sqref="L10"/>
    </sheetView>
  </sheetViews>
  <sheetFormatPr defaultRowHeight="14.45" zeroHeight="1"/>
  <sheetData>
    <row r="1" spans="2:9"/>
    <row r="2" spans="2:9"/>
    <row r="3" spans="2:9" ht="20.100000000000001">
      <c r="B3" s="128" t="s">
        <v>79</v>
      </c>
    </row>
    <row r="4" spans="2:9"/>
    <row r="5" spans="2:9" ht="15.95" thickBot="1">
      <c r="B5" s="129" t="s">
        <v>80</v>
      </c>
      <c r="C5" s="65"/>
      <c r="D5" s="65"/>
      <c r="E5" s="65"/>
      <c r="F5" s="65"/>
      <c r="G5" s="65"/>
      <c r="H5" s="65"/>
      <c r="I5" s="65"/>
    </row>
    <row r="6" spans="2:9"/>
    <row r="7" spans="2:9">
      <c r="B7" t="s">
        <v>81</v>
      </c>
    </row>
    <row r="8" spans="2:9" ht="15" thickBot="1"/>
    <row r="9" spans="2:9">
      <c r="B9" s="103"/>
      <c r="C9" s="60"/>
      <c r="D9" s="60"/>
      <c r="E9" s="60"/>
      <c r="F9" s="61"/>
    </row>
    <row r="10" spans="2:9">
      <c r="B10" s="62"/>
      <c r="C10" s="22"/>
      <c r="D10" s="22"/>
      <c r="E10" s="22"/>
      <c r="F10" s="63"/>
    </row>
    <row r="11" spans="2:9">
      <c r="B11" s="62"/>
      <c r="C11" s="22" t="s">
        <v>82</v>
      </c>
      <c r="D11" s="22"/>
      <c r="E11" s="22"/>
      <c r="F11" s="63"/>
    </row>
    <row r="12" spans="2:9">
      <c r="B12" s="62"/>
      <c r="C12" s="22" t="s">
        <v>83</v>
      </c>
      <c r="D12" s="22"/>
      <c r="E12" s="22"/>
      <c r="F12" s="63"/>
    </row>
    <row r="13" spans="2:9">
      <c r="B13" s="62"/>
      <c r="C13" s="22" t="s">
        <v>84</v>
      </c>
      <c r="D13" s="22"/>
      <c r="E13" s="22"/>
      <c r="F13" s="63"/>
    </row>
    <row r="14" spans="2:9">
      <c r="B14" s="62"/>
      <c r="C14" s="22"/>
      <c r="D14" s="22"/>
      <c r="E14" s="22"/>
      <c r="F14" s="63"/>
    </row>
    <row r="15" spans="2:9" ht="15" thickBot="1">
      <c r="B15" s="64"/>
      <c r="C15" s="65"/>
      <c r="D15" s="65"/>
      <c r="E15" s="65"/>
      <c r="F15" s="66"/>
    </row>
    <row r="16" spans="2:9"/>
    <row r="17" spans="2:9"/>
    <row r="18" spans="2:9">
      <c r="B18" t="s">
        <v>85</v>
      </c>
    </row>
    <row r="19" spans="2:9"/>
    <row r="20" spans="2:9">
      <c r="B20" s="20" t="s">
        <v>86</v>
      </c>
      <c r="C20" s="20"/>
      <c r="D20" s="20"/>
      <c r="E20" s="20"/>
    </row>
    <row r="21" spans="2:9"/>
    <row r="22" spans="2:9"/>
    <row r="23" spans="2:9"/>
    <row r="24" spans="2:9" ht="15.95" thickBot="1">
      <c r="B24" s="129" t="s">
        <v>87</v>
      </c>
      <c r="C24" s="65"/>
      <c r="D24" s="65"/>
      <c r="E24" s="65"/>
      <c r="F24" s="65"/>
      <c r="G24" s="65"/>
      <c r="H24" s="65"/>
      <c r="I24" s="65"/>
    </row>
    <row r="25" spans="2:9"/>
    <row r="26" spans="2:9">
      <c r="B26" s="146" t="s">
        <v>88</v>
      </c>
      <c r="C26" t="s">
        <v>89</v>
      </c>
    </row>
    <row r="27" spans="2:9">
      <c r="B27" s="147" t="s">
        <v>88</v>
      </c>
      <c r="C27" t="s">
        <v>90</v>
      </c>
    </row>
    <row r="28" spans="2:9"/>
    <row r="29" spans="2:9"/>
    <row r="30" spans="2:9"/>
    <row r="31" spans="2:9"/>
    <row r="32" spans="2:9"/>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E3F9D1-AA12-4159-A9E8-5964ABC89BB9}">
  <sheetPr>
    <tabColor theme="4" tint="0.59999389629810485"/>
  </sheetPr>
  <dimension ref="A1:S30"/>
  <sheetViews>
    <sheetView showGridLines="0" zoomScaleNormal="100" workbookViewId="0">
      <selection activeCell="E3" sqref="E3"/>
    </sheetView>
  </sheetViews>
  <sheetFormatPr defaultColWidth="0" defaultRowHeight="14.45" zeroHeight="1"/>
  <cols>
    <col min="1" max="1" width="5.140625" customWidth="1"/>
    <col min="2" max="2" width="8.7109375" customWidth="1"/>
    <col min="3" max="3" width="42.28515625" bestFit="1" customWidth="1"/>
    <col min="4" max="4" width="14.85546875" customWidth="1"/>
    <col min="5" max="5" width="14.7109375" customWidth="1"/>
    <col min="6" max="6" width="9.140625" bestFit="1" customWidth="1"/>
    <col min="7" max="7" width="11.5703125" customWidth="1"/>
    <col min="8" max="19" width="8.7109375" customWidth="1"/>
    <col min="20" max="16384" width="8.7109375" hidden="1"/>
  </cols>
  <sheetData>
    <row r="1" spans="2:15" ht="11.45" customHeight="1">
      <c r="E1" s="58"/>
      <c r="F1" s="22"/>
      <c r="G1" s="22"/>
      <c r="H1" s="22"/>
      <c r="I1" s="22"/>
      <c r="J1" s="58"/>
      <c r="N1" s="22"/>
    </row>
    <row r="2" spans="2:15">
      <c r="E2" s="84" t="s">
        <v>59</v>
      </c>
      <c r="F2" s="83"/>
      <c r="G2" s="22"/>
      <c r="H2" s="22"/>
      <c r="I2" s="22"/>
      <c r="J2" s="84" t="s">
        <v>91</v>
      </c>
      <c r="N2" s="22"/>
    </row>
    <row r="3" spans="2:15">
      <c r="E3" s="84" t="s">
        <v>2</v>
      </c>
      <c r="F3" s="83"/>
      <c r="G3" s="22"/>
      <c r="H3" s="22"/>
      <c r="I3" s="22"/>
      <c r="J3" s="58"/>
      <c r="N3" s="22"/>
    </row>
    <row r="4" spans="2:15" ht="10.5" customHeight="1">
      <c r="E4" s="58"/>
      <c r="F4" s="22"/>
      <c r="G4" s="22"/>
      <c r="H4" s="22"/>
      <c r="I4" s="22"/>
      <c r="J4" s="58"/>
      <c r="N4" s="22"/>
    </row>
    <row r="5" spans="2:15" s="57" customFormat="1" ht="6" customHeight="1"/>
    <row r="6" spans="2:15"/>
    <row r="7" spans="2:15" s="27" customFormat="1" ht="28.5">
      <c r="C7" s="26" t="s">
        <v>92</v>
      </c>
    </row>
    <row r="8" spans="2:15" ht="15" thickBot="1"/>
    <row r="9" spans="2:15">
      <c r="B9" s="103"/>
      <c r="C9" s="60"/>
      <c r="D9" s="60"/>
      <c r="E9" s="60"/>
      <c r="F9" s="60"/>
      <c r="G9" s="60"/>
      <c r="H9" s="60"/>
      <c r="I9" s="60"/>
      <c r="J9" s="60"/>
      <c r="K9" s="60"/>
      <c r="L9" s="60"/>
      <c r="M9" s="60"/>
      <c r="N9" s="60"/>
      <c r="O9" s="61"/>
    </row>
    <row r="10" spans="2:15" ht="15" thickBot="1">
      <c r="B10" s="62"/>
      <c r="C10" s="86" t="s">
        <v>93</v>
      </c>
      <c r="D10" s="86" t="s">
        <v>94</v>
      </c>
      <c r="E10" s="86" t="s">
        <v>95</v>
      </c>
      <c r="F10" s="86" t="s">
        <v>96</v>
      </c>
      <c r="G10" s="86" t="s">
        <v>97</v>
      </c>
      <c r="H10" s="86"/>
      <c r="I10" s="86"/>
      <c r="J10" s="86"/>
      <c r="K10" s="86"/>
      <c r="L10" s="86"/>
      <c r="M10" s="86"/>
      <c r="N10" s="86"/>
      <c r="O10" s="63"/>
    </row>
    <row r="11" spans="2:15" ht="15" thickTop="1">
      <c r="B11" s="62"/>
      <c r="C11" s="22"/>
      <c r="D11" s="99"/>
      <c r="E11" s="99"/>
      <c r="F11" s="99"/>
      <c r="G11" s="22"/>
      <c r="H11" s="22"/>
      <c r="I11" s="22"/>
      <c r="J11" s="22"/>
      <c r="K11" s="22"/>
      <c r="L11" s="22"/>
      <c r="M11" s="22"/>
      <c r="N11" s="22"/>
      <c r="O11" s="63"/>
    </row>
    <row r="12" spans="2:15">
      <c r="B12" s="62"/>
      <c r="C12" s="29" t="s">
        <v>98</v>
      </c>
      <c r="D12" s="46">
        <v>365</v>
      </c>
      <c r="E12" s="46">
        <f>D12</f>
        <v>365</v>
      </c>
      <c r="F12" s="99"/>
      <c r="G12" s="22"/>
      <c r="H12" s="22"/>
      <c r="I12" s="22"/>
      <c r="J12" s="22"/>
      <c r="K12" s="22"/>
      <c r="L12" s="22"/>
      <c r="M12" s="22"/>
      <c r="N12" s="22"/>
      <c r="O12" s="63"/>
    </row>
    <row r="13" spans="2:15">
      <c r="B13" s="62"/>
      <c r="C13" s="29" t="s">
        <v>99</v>
      </c>
      <c r="D13" s="46">
        <f>52*2</f>
        <v>104</v>
      </c>
      <c r="E13" s="46">
        <f>D13</f>
        <v>104</v>
      </c>
      <c r="F13" s="99"/>
      <c r="G13" s="22"/>
      <c r="H13" s="22"/>
      <c r="I13" s="22"/>
      <c r="J13" s="22"/>
      <c r="K13" s="22"/>
      <c r="L13" s="22"/>
      <c r="M13" s="22"/>
      <c r="N13" s="22"/>
      <c r="O13" s="63"/>
    </row>
    <row r="14" spans="2:15">
      <c r="B14" s="62"/>
      <c r="C14" s="29" t="s">
        <v>100</v>
      </c>
      <c r="D14" s="46">
        <v>10</v>
      </c>
      <c r="E14" s="46">
        <v>10</v>
      </c>
      <c r="F14" s="99"/>
      <c r="G14" s="22"/>
      <c r="H14" s="22"/>
      <c r="I14" s="22"/>
      <c r="J14" s="22"/>
      <c r="K14" s="22"/>
      <c r="L14" s="22"/>
      <c r="M14" s="22"/>
      <c r="N14" s="22"/>
      <c r="O14" s="63"/>
    </row>
    <row r="15" spans="2:15">
      <c r="B15" s="62"/>
      <c r="C15" s="29" t="s">
        <v>101</v>
      </c>
      <c r="D15" s="46">
        <v>25</v>
      </c>
      <c r="E15" s="46">
        <v>20</v>
      </c>
      <c r="F15" s="100"/>
      <c r="G15" s="22"/>
      <c r="H15" s="22"/>
      <c r="I15" s="22"/>
      <c r="J15" s="22"/>
      <c r="K15" s="22"/>
      <c r="L15" s="22"/>
      <c r="M15" s="22"/>
      <c r="N15" s="22"/>
      <c r="O15" s="63"/>
    </row>
    <row r="16" spans="2:15">
      <c r="B16" s="62"/>
      <c r="C16" s="29" t="s">
        <v>102</v>
      </c>
      <c r="D16" s="53">
        <f>(D12-SUM(D13:D15))*F16</f>
        <v>9.0400000000000009</v>
      </c>
      <c r="E16" s="46">
        <f>(E12-SUM(E13:E15))*F16</f>
        <v>9.24</v>
      </c>
      <c r="F16" s="101">
        <v>0.04</v>
      </c>
      <c r="G16" s="22" t="s">
        <v>103</v>
      </c>
      <c r="H16" s="22"/>
      <c r="I16" s="22"/>
      <c r="J16" s="22"/>
      <c r="K16" s="22"/>
      <c r="L16" s="22"/>
      <c r="M16" s="22"/>
      <c r="N16" s="22"/>
      <c r="O16" s="63"/>
    </row>
    <row r="17" spans="2:15">
      <c r="B17" s="62"/>
      <c r="C17" s="29" t="s">
        <v>104</v>
      </c>
      <c r="D17" s="46">
        <f>(D12-SUM(D13:D15))*$F17</f>
        <v>0</v>
      </c>
      <c r="E17" s="46">
        <f>(E12-SUM(E13:E15))*$F17</f>
        <v>0</v>
      </c>
      <c r="F17" s="101">
        <v>0</v>
      </c>
      <c r="G17" s="102"/>
      <c r="H17" s="22"/>
      <c r="I17" s="22"/>
      <c r="J17" s="22"/>
      <c r="K17" s="22"/>
      <c r="L17" s="22"/>
      <c r="M17" s="22"/>
      <c r="N17" s="22"/>
      <c r="O17" s="63"/>
    </row>
    <row r="18" spans="2:15">
      <c r="B18" s="62"/>
      <c r="C18" s="29" t="s">
        <v>105</v>
      </c>
      <c r="D18" s="54">
        <f>D12-SUM(D13:D17)</f>
        <v>216.96</v>
      </c>
      <c r="E18" s="54">
        <f>E12-SUM(E13:E17)</f>
        <v>221.76</v>
      </c>
      <c r="F18" s="100"/>
      <c r="G18" s="22"/>
      <c r="H18" s="22"/>
      <c r="I18" s="22"/>
      <c r="J18" s="22"/>
      <c r="K18" s="22"/>
      <c r="L18" s="22"/>
      <c r="M18" s="22"/>
      <c r="N18" s="22"/>
      <c r="O18" s="63"/>
    </row>
    <row r="19" spans="2:15">
      <c r="B19" s="62"/>
      <c r="C19" s="29" t="s">
        <v>106</v>
      </c>
      <c r="D19" s="54">
        <v>38</v>
      </c>
      <c r="E19" s="54">
        <v>38</v>
      </c>
      <c r="F19" s="100"/>
      <c r="G19" s="22"/>
      <c r="H19" s="22"/>
      <c r="I19" s="22"/>
      <c r="J19" s="22"/>
      <c r="K19" s="22"/>
      <c r="L19" s="22"/>
      <c r="M19" s="22"/>
      <c r="N19" s="22"/>
      <c r="O19" s="63"/>
    </row>
    <row r="20" spans="2:15">
      <c r="B20" s="62"/>
      <c r="C20" s="29" t="s">
        <v>107</v>
      </c>
      <c r="D20" s="55">
        <f>D18*(D19/5)</f>
        <v>1648.896</v>
      </c>
      <c r="E20" s="55">
        <f>E18*(E19/5)</f>
        <v>1685.3759999999997</v>
      </c>
      <c r="F20" s="100"/>
      <c r="G20" s="22" t="s">
        <v>108</v>
      </c>
      <c r="H20" s="22"/>
      <c r="I20" s="22"/>
      <c r="J20" s="22"/>
      <c r="K20" s="22"/>
      <c r="L20" s="22"/>
      <c r="M20" s="22"/>
      <c r="N20" s="22"/>
      <c r="O20" s="63"/>
    </row>
    <row r="21" spans="2:15" ht="15" thickBot="1">
      <c r="B21" s="62"/>
      <c r="C21" s="87"/>
      <c r="D21" s="90"/>
      <c r="E21" s="90"/>
      <c r="F21" s="100"/>
      <c r="G21" s="22"/>
      <c r="H21" s="22"/>
      <c r="I21" s="22"/>
      <c r="J21" s="22"/>
      <c r="K21" s="22"/>
      <c r="L21" s="22"/>
      <c r="M21" s="22"/>
      <c r="N21" s="22"/>
      <c r="O21" s="63"/>
    </row>
    <row r="22" spans="2:15" ht="15" thickTop="1">
      <c r="B22" s="62"/>
      <c r="C22" s="94" t="s">
        <v>76</v>
      </c>
      <c r="D22" s="52">
        <f>D20*$F$22</f>
        <v>1319.1168</v>
      </c>
      <c r="E22" s="89"/>
      <c r="F22" s="101">
        <v>0.8</v>
      </c>
      <c r="G22" s="22" t="s">
        <v>109</v>
      </c>
      <c r="H22" s="22"/>
      <c r="I22" s="22"/>
      <c r="J22" s="22"/>
      <c r="K22" s="22"/>
      <c r="L22" s="22"/>
      <c r="M22" s="22"/>
      <c r="N22" s="22"/>
      <c r="O22" s="63"/>
    </row>
    <row r="23" spans="2:15" ht="15" thickBot="1">
      <c r="B23" s="64"/>
      <c r="C23" s="65"/>
      <c r="D23" s="65"/>
      <c r="E23" s="104"/>
      <c r="F23" s="104"/>
      <c r="G23" s="65"/>
      <c r="H23" s="65"/>
      <c r="I23" s="65"/>
      <c r="J23" s="65"/>
      <c r="K23" s="65"/>
      <c r="L23" s="65"/>
      <c r="M23" s="65"/>
      <c r="N23" s="65"/>
      <c r="O23" s="66"/>
    </row>
    <row r="24" spans="2:15"/>
    <row r="25" spans="2:15"/>
    <row r="26" spans="2:15"/>
    <row r="27" spans="2:15"/>
    <row r="28" spans="2:15"/>
    <row r="29" spans="2:15"/>
    <row r="30" spans="2:15"/>
  </sheetData>
  <pageMargins left="0.7" right="0.7" top="0.75" bottom="0.75" header="0.3" footer="0.3"/>
  <pageSetup paperSize="9" orientation="portrait" horizontalDpi="4294967293"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6E6849-3D18-48DA-96B1-1994E34FEDC9}">
  <sheetPr>
    <tabColor theme="4" tint="0.59999389629810485"/>
  </sheetPr>
  <dimension ref="A1:Q73"/>
  <sheetViews>
    <sheetView showGridLines="0" workbookViewId="0">
      <selection activeCell="E3" sqref="E3"/>
    </sheetView>
  </sheetViews>
  <sheetFormatPr defaultColWidth="0" defaultRowHeight="14.45" zeroHeight="1"/>
  <cols>
    <col min="1" max="1" width="5" customWidth="1"/>
    <col min="2" max="2" width="8.7109375" customWidth="1"/>
    <col min="3" max="3" width="56.85546875" customWidth="1"/>
    <col min="4" max="4" width="16.140625" customWidth="1"/>
    <col min="5" max="5" width="15.140625" customWidth="1"/>
    <col min="6" max="6" width="13.5703125" bestFit="1" customWidth="1"/>
    <col min="7" max="7" width="18.140625" customWidth="1"/>
    <col min="8" max="8" width="16" bestFit="1" customWidth="1"/>
    <col min="9" max="9" width="16.5703125" bestFit="1" customWidth="1"/>
    <col min="10" max="10" width="12.85546875" bestFit="1" customWidth="1"/>
    <col min="11" max="11" width="16" bestFit="1" customWidth="1"/>
    <col min="12" max="17" width="8.7109375" customWidth="1"/>
    <col min="18" max="16384" width="8.7109375" hidden="1"/>
  </cols>
  <sheetData>
    <row r="1" spans="2:14" ht="11.45" customHeight="1">
      <c r="E1" s="58"/>
      <c r="F1" s="22"/>
      <c r="G1" s="22"/>
      <c r="H1" s="22"/>
      <c r="I1" s="58"/>
      <c r="N1" s="22"/>
    </row>
    <row r="2" spans="2:14">
      <c r="E2" s="84" t="s">
        <v>59</v>
      </c>
      <c r="F2" s="83"/>
      <c r="G2" s="22"/>
      <c r="H2" s="22"/>
      <c r="I2" s="84" t="s">
        <v>18</v>
      </c>
      <c r="N2" s="22"/>
    </row>
    <row r="3" spans="2:14">
      <c r="E3" s="84" t="s">
        <v>2</v>
      </c>
      <c r="F3" s="83"/>
      <c r="G3" s="22"/>
      <c r="H3" s="22"/>
      <c r="I3" s="58"/>
      <c r="N3" s="22"/>
    </row>
    <row r="4" spans="2:14" ht="10.5" customHeight="1">
      <c r="E4" s="58"/>
      <c r="F4" s="22"/>
      <c r="G4" s="22"/>
      <c r="H4" s="22"/>
      <c r="I4" s="58"/>
      <c r="N4" s="22"/>
    </row>
    <row r="5" spans="2:14" s="57" customFormat="1" ht="6" customHeight="1"/>
    <row r="6" spans="2:14"/>
    <row r="7" spans="2:14" s="27" customFormat="1" ht="28.5">
      <c r="C7" s="26" t="s">
        <v>92</v>
      </c>
    </row>
    <row r="8" spans="2:14" ht="15" thickBot="1"/>
    <row r="9" spans="2:14">
      <c r="B9" s="103"/>
      <c r="C9" s="60"/>
      <c r="D9" s="60"/>
      <c r="E9" s="60"/>
      <c r="F9" s="60"/>
      <c r="G9" s="60"/>
      <c r="H9" s="60"/>
      <c r="I9" s="60"/>
      <c r="J9" s="61"/>
    </row>
    <row r="10" spans="2:14" ht="15" thickBot="1">
      <c r="B10" s="62"/>
      <c r="C10" s="86" t="s">
        <v>110</v>
      </c>
      <c r="D10" s="86" t="s">
        <v>111</v>
      </c>
      <c r="E10" s="86" t="s">
        <v>112</v>
      </c>
      <c r="F10" s="86"/>
      <c r="G10" s="86"/>
      <c r="H10" s="86"/>
      <c r="I10" s="86"/>
      <c r="J10" s="63"/>
    </row>
    <row r="11" spans="2:14" ht="15" thickTop="1">
      <c r="B11" s="62"/>
      <c r="C11" s="94"/>
      <c r="D11" s="94"/>
      <c r="E11" s="94"/>
      <c r="F11" s="94"/>
      <c r="G11" s="94"/>
      <c r="H11" s="94"/>
      <c r="I11" s="94"/>
      <c r="J11" s="63"/>
    </row>
    <row r="12" spans="2:14">
      <c r="B12" s="62"/>
      <c r="C12" s="95" t="s">
        <v>113</v>
      </c>
      <c r="D12" s="96">
        <f>D54</f>
        <v>4011.37</v>
      </c>
      <c r="E12" s="22"/>
      <c r="F12" s="22"/>
      <c r="G12" s="22"/>
      <c r="H12" s="22"/>
      <c r="I12" s="22"/>
      <c r="J12" s="63"/>
    </row>
    <row r="13" spans="2:14">
      <c r="B13" s="62"/>
      <c r="C13" s="51" t="s">
        <v>114</v>
      </c>
      <c r="D13" s="51">
        <f>D38</f>
        <v>13.5</v>
      </c>
      <c r="E13" s="22"/>
      <c r="F13" s="22"/>
      <c r="G13" s="22"/>
      <c r="H13" s="22"/>
      <c r="I13" s="22"/>
      <c r="J13" s="63"/>
    </row>
    <row r="14" spans="2:14">
      <c r="B14" s="62"/>
      <c r="C14" s="47" t="s">
        <v>115</v>
      </c>
      <c r="D14" s="48">
        <f>E54</f>
        <v>54153.494999999995</v>
      </c>
      <c r="E14" s="22"/>
      <c r="F14" s="22"/>
      <c r="G14" s="22"/>
      <c r="H14" s="22"/>
      <c r="I14" s="22"/>
      <c r="J14" s="63"/>
    </row>
    <row r="15" spans="2:14">
      <c r="B15" s="62"/>
      <c r="C15" s="29" t="s">
        <v>116</v>
      </c>
      <c r="D15" s="49">
        <v>0.05</v>
      </c>
      <c r="E15" s="22"/>
      <c r="F15" s="22"/>
      <c r="G15" s="22"/>
      <c r="H15" s="22"/>
      <c r="I15" s="22"/>
      <c r="J15" s="63"/>
    </row>
    <row r="16" spans="2:14">
      <c r="B16" s="62"/>
      <c r="C16" s="47" t="s">
        <v>117</v>
      </c>
      <c r="D16" s="48">
        <f>(D12*D13)*(1+D15)</f>
        <v>56861.169750000001</v>
      </c>
      <c r="E16" s="22"/>
      <c r="F16" s="22"/>
      <c r="G16" s="22"/>
      <c r="H16" s="22"/>
      <c r="I16" s="22"/>
      <c r="J16" s="63"/>
    </row>
    <row r="17" spans="2:10">
      <c r="B17" s="62"/>
      <c r="C17" s="29" t="s">
        <v>118</v>
      </c>
      <c r="D17" s="50">
        <v>615</v>
      </c>
      <c r="E17" s="22" t="s">
        <v>119</v>
      </c>
      <c r="F17" s="22"/>
      <c r="G17" s="22"/>
      <c r="H17" s="22"/>
      <c r="I17" s="22"/>
      <c r="J17" s="63"/>
    </row>
    <row r="18" spans="2:10">
      <c r="B18" s="62"/>
      <c r="C18" s="29" t="s">
        <v>120</v>
      </c>
      <c r="D18" s="50">
        <f>(1064+990)/2*1/4</f>
        <v>256.75</v>
      </c>
      <c r="E18" s="22" t="s">
        <v>121</v>
      </c>
      <c r="F18" s="22"/>
      <c r="G18" s="22"/>
      <c r="H18" s="22"/>
      <c r="I18" s="22"/>
      <c r="J18" s="63"/>
    </row>
    <row r="19" spans="2:10">
      <c r="B19" s="62"/>
      <c r="C19" s="29" t="s">
        <v>122</v>
      </c>
      <c r="D19" s="50">
        <v>5000</v>
      </c>
      <c r="E19" s="22" t="s">
        <v>123</v>
      </c>
      <c r="F19" s="22"/>
      <c r="G19" s="22"/>
      <c r="H19" s="22"/>
      <c r="I19" s="22"/>
      <c r="J19" s="63"/>
    </row>
    <row r="20" spans="2:10">
      <c r="B20" s="62"/>
      <c r="C20" s="29" t="s">
        <v>124</v>
      </c>
      <c r="D20" s="50">
        <v>2750</v>
      </c>
      <c r="E20" s="22" t="s">
        <v>125</v>
      </c>
      <c r="F20" s="22"/>
      <c r="G20" s="22"/>
      <c r="H20" s="22"/>
      <c r="I20" s="22"/>
      <c r="J20" s="63"/>
    </row>
    <row r="21" spans="2:10">
      <c r="B21" s="62"/>
      <c r="C21" s="29" t="s">
        <v>126</v>
      </c>
      <c r="D21" s="50">
        <v>550</v>
      </c>
      <c r="E21" s="22" t="s">
        <v>127</v>
      </c>
      <c r="F21" s="22"/>
      <c r="G21" s="22"/>
      <c r="H21" s="22"/>
      <c r="I21" s="22"/>
      <c r="J21" s="63"/>
    </row>
    <row r="22" spans="2:10">
      <c r="B22" s="62"/>
      <c r="C22" s="29" t="s">
        <v>128</v>
      </c>
      <c r="D22" s="50">
        <v>150</v>
      </c>
      <c r="E22" s="22" t="s">
        <v>123</v>
      </c>
      <c r="F22" s="22"/>
      <c r="G22" s="22"/>
      <c r="H22" s="22"/>
      <c r="I22" s="22"/>
      <c r="J22" s="63"/>
    </row>
    <row r="23" spans="2:10" ht="15" thickBot="1">
      <c r="B23" s="62"/>
      <c r="C23" s="87"/>
      <c r="D23" s="88"/>
      <c r="E23" s="22"/>
      <c r="F23" s="22"/>
      <c r="G23" s="22"/>
      <c r="H23" s="22"/>
      <c r="I23" s="22"/>
      <c r="J23" s="63"/>
    </row>
    <row r="24" spans="2:10" ht="15" thickTop="1">
      <c r="B24" s="62"/>
      <c r="C24" s="94" t="s">
        <v>129</v>
      </c>
      <c r="D24" s="45">
        <f>D16+SUM(D17:D22)</f>
        <v>66182.919750000001</v>
      </c>
      <c r="E24" s="22"/>
      <c r="F24" s="22"/>
      <c r="G24" s="22"/>
      <c r="H24" s="22"/>
      <c r="I24" s="22"/>
      <c r="J24" s="63"/>
    </row>
    <row r="25" spans="2:10" ht="15" thickBot="1">
      <c r="B25" s="64"/>
      <c r="C25" s="65"/>
      <c r="D25" s="65"/>
      <c r="E25" s="65"/>
      <c r="F25" s="65"/>
      <c r="G25" s="65"/>
      <c r="H25" s="65"/>
      <c r="I25" s="65"/>
      <c r="J25" s="66"/>
    </row>
    <row r="26" spans="2:10"/>
    <row r="27" spans="2:10"/>
    <row r="28" spans="2:10" ht="15" thickBot="1">
      <c r="D28" s="86" t="s">
        <v>130</v>
      </c>
      <c r="E28" s="86" t="s">
        <v>131</v>
      </c>
    </row>
    <row r="29" spans="2:10" ht="15" thickTop="1">
      <c r="C29" s="44" t="s">
        <v>132</v>
      </c>
      <c r="D29" s="43">
        <f>D30-D16</f>
        <v>14783.904135000004</v>
      </c>
      <c r="E29" s="3">
        <f>D29-SUM(D17:D22)</f>
        <v>5462.1541350000043</v>
      </c>
    </row>
    <row r="30" spans="2:10">
      <c r="C30" s="44" t="s">
        <v>133</v>
      </c>
      <c r="D30" s="43">
        <f>D16*D39</f>
        <v>71645.073885000005</v>
      </c>
      <c r="E30" s="3">
        <f>D30-D24</f>
        <v>5462.1541350000043</v>
      </c>
    </row>
    <row r="31" spans="2:10"/>
    <row r="32" spans="2:10"/>
    <row r="33" spans="3:11"/>
    <row r="34" spans="3:11" s="27" customFormat="1" ht="28.5">
      <c r="C34" s="26" t="s">
        <v>134</v>
      </c>
    </row>
    <row r="35" spans="3:11"/>
    <row r="36" spans="3:11">
      <c r="C36" t="s">
        <v>135</v>
      </c>
    </row>
    <row r="37" spans="3:11">
      <c r="C37" t="s">
        <v>136</v>
      </c>
      <c r="D37">
        <v>13.92</v>
      </c>
    </row>
    <row r="38" spans="3:11">
      <c r="C38" t="s">
        <v>137</v>
      </c>
      <c r="D38" s="41">
        <v>13.5</v>
      </c>
      <c r="E38" t="s">
        <v>138</v>
      </c>
    </row>
    <row r="39" spans="3:11">
      <c r="C39" t="s">
        <v>139</v>
      </c>
      <c r="D39">
        <v>1.26</v>
      </c>
      <c r="K39" s="30"/>
    </row>
    <row r="40" spans="3:11">
      <c r="C40" t="s">
        <v>140</v>
      </c>
      <c r="D40">
        <v>38</v>
      </c>
    </row>
    <row r="41" spans="3:11">
      <c r="C41" t="s">
        <v>141</v>
      </c>
      <c r="D41">
        <v>22</v>
      </c>
    </row>
    <row r="42" spans="3:11">
      <c r="C42" t="s">
        <v>142</v>
      </c>
      <c r="D42" s="16">
        <f>'Beschikbare uren'!D20</f>
        <v>1648.896</v>
      </c>
      <c r="E42" t="s">
        <v>143</v>
      </c>
    </row>
    <row r="43" spans="3:11"/>
    <row r="44" spans="3:11" ht="15" thickBot="1">
      <c r="C44" s="86" t="s">
        <v>144</v>
      </c>
      <c r="D44" s="86" t="s">
        <v>145</v>
      </c>
      <c r="E44" s="86" t="s">
        <v>146</v>
      </c>
      <c r="F44" s="86" t="s">
        <v>147</v>
      </c>
      <c r="G44" s="86" t="s">
        <v>148</v>
      </c>
      <c r="H44" s="86" t="s">
        <v>149</v>
      </c>
    </row>
    <row r="45" spans="3:11" ht="15" thickTop="1"/>
    <row r="46" spans="3:11">
      <c r="C46" s="41" t="s">
        <v>150</v>
      </c>
      <c r="D46" s="113">
        <v>4864.6499999999996</v>
      </c>
      <c r="E46" s="5">
        <f t="shared" ref="E46:E51" si="0">D46*$D$38</f>
        <v>65672.774999999994</v>
      </c>
      <c r="F46" s="5">
        <f t="shared" ref="F46:F57" si="1">E46*$D$39</f>
        <v>82747.696499999991</v>
      </c>
      <c r="G46" s="30">
        <f>E46/$D$42</f>
        <v>39.82833059210526</v>
      </c>
      <c r="H46" s="30">
        <f>F46/$D$42</f>
        <v>50.18369654605263</v>
      </c>
    </row>
    <row r="47" spans="3:11">
      <c r="C47" t="s">
        <v>151</v>
      </c>
      <c r="D47" s="113">
        <v>5233.6099999999997</v>
      </c>
      <c r="E47" s="5">
        <f t="shared" si="0"/>
        <v>70653.735000000001</v>
      </c>
      <c r="F47" s="5">
        <f t="shared" si="1"/>
        <v>89023.706099999996</v>
      </c>
      <c r="G47" s="30">
        <f t="shared" ref="G47:G57" si="2">E47/$D$42</f>
        <v>42.849115408127624</v>
      </c>
      <c r="H47" s="30">
        <f t="shared" ref="H47:H57" si="3">F47/$D$42</f>
        <v>53.989885414240803</v>
      </c>
    </row>
    <row r="48" spans="3:11">
      <c r="C48" t="s">
        <v>152</v>
      </c>
      <c r="D48" s="113">
        <v>4022.17</v>
      </c>
      <c r="E48" s="5">
        <f t="shared" si="0"/>
        <v>54299.294999999998</v>
      </c>
      <c r="F48" s="5">
        <f t="shared" si="1"/>
        <v>68417.111699999994</v>
      </c>
      <c r="G48" s="30">
        <f t="shared" si="2"/>
        <v>32.9306972665347</v>
      </c>
      <c r="H48" s="30">
        <f t="shared" si="3"/>
        <v>41.49267855583372</v>
      </c>
    </row>
    <row r="49" spans="3:12">
      <c r="C49" t="s">
        <v>153</v>
      </c>
      <c r="D49" s="113">
        <v>4022.17</v>
      </c>
      <c r="E49" s="5">
        <f t="shared" si="0"/>
        <v>54299.294999999998</v>
      </c>
      <c r="F49" s="5">
        <f t="shared" si="1"/>
        <v>68417.111699999994</v>
      </c>
      <c r="G49" s="30">
        <f t="shared" si="2"/>
        <v>32.9306972665347</v>
      </c>
      <c r="H49" s="30">
        <f t="shared" si="3"/>
        <v>41.49267855583372</v>
      </c>
    </row>
    <row r="50" spans="3:12">
      <c r="C50" t="s">
        <v>154</v>
      </c>
      <c r="D50" s="113">
        <v>4008.9</v>
      </c>
      <c r="E50" s="5">
        <f t="shared" si="0"/>
        <v>54120.15</v>
      </c>
      <c r="F50" s="5">
        <f t="shared" si="1"/>
        <v>68191.388999999996</v>
      </c>
      <c r="G50" s="30">
        <f t="shared" si="2"/>
        <v>32.822051845598509</v>
      </c>
      <c r="H50" s="30">
        <f t="shared" si="3"/>
        <v>41.355785325454121</v>
      </c>
      <c r="I50" t="s">
        <v>155</v>
      </c>
    </row>
    <row r="51" spans="3:12">
      <c r="C51" t="s">
        <v>156</v>
      </c>
      <c r="D51" s="113">
        <v>4040.1</v>
      </c>
      <c r="E51" s="5">
        <f t="shared" si="0"/>
        <v>54541.35</v>
      </c>
      <c r="F51" s="5">
        <f t="shared" si="1"/>
        <v>68722.100999999995</v>
      </c>
      <c r="G51" s="30">
        <f t="shared" si="2"/>
        <v>33.077495487890076</v>
      </c>
      <c r="H51" s="30">
        <f t="shared" si="3"/>
        <v>41.677644314741499</v>
      </c>
    </row>
    <row r="52" spans="3:12">
      <c r="C52" t="s">
        <v>157</v>
      </c>
      <c r="D52" s="113">
        <v>4069.05</v>
      </c>
      <c r="E52" s="5">
        <f t="shared" ref="E52:E57" si="4">D52*$D$38</f>
        <v>54932.175000000003</v>
      </c>
      <c r="F52" s="5">
        <f t="shared" si="1"/>
        <v>69214.540500000003</v>
      </c>
      <c r="G52" s="30">
        <f t="shared" si="2"/>
        <v>33.314517713670242</v>
      </c>
      <c r="H52" s="30">
        <f t="shared" si="3"/>
        <v>41.976292319224505</v>
      </c>
    </row>
    <row r="53" spans="3:12">
      <c r="C53" t="s">
        <v>158</v>
      </c>
      <c r="D53" s="113">
        <v>4134.1000000000004</v>
      </c>
      <c r="E53" s="5">
        <f t="shared" si="4"/>
        <v>55810.350000000006</v>
      </c>
      <c r="F53" s="5">
        <f t="shared" si="1"/>
        <v>70321.041000000012</v>
      </c>
      <c r="G53" s="30">
        <f t="shared" si="2"/>
        <v>33.847101333255708</v>
      </c>
      <c r="H53" s="30">
        <f t="shared" si="3"/>
        <v>42.647347679902197</v>
      </c>
    </row>
    <row r="54" spans="3:12">
      <c r="C54" s="111" t="s">
        <v>159</v>
      </c>
      <c r="D54" s="123">
        <v>4011.37</v>
      </c>
      <c r="E54" s="93">
        <f t="shared" si="4"/>
        <v>54153.494999999995</v>
      </c>
      <c r="F54" s="123">
        <f t="shared" si="1"/>
        <v>68233.403699999995</v>
      </c>
      <c r="G54" s="124">
        <f t="shared" si="2"/>
        <v>32.842274467279921</v>
      </c>
      <c r="H54" s="124">
        <f t="shared" si="3"/>
        <v>41.381265828772705</v>
      </c>
    </row>
    <row r="55" spans="3:12">
      <c r="C55" t="s">
        <v>160</v>
      </c>
      <c r="D55" s="113">
        <v>4814.59</v>
      </c>
      <c r="E55" s="5">
        <f t="shared" si="4"/>
        <v>64996.965000000004</v>
      </c>
      <c r="F55" s="5">
        <f t="shared" si="1"/>
        <v>81896.175900000002</v>
      </c>
      <c r="G55" s="30">
        <f t="shared" si="2"/>
        <v>39.418474542966933</v>
      </c>
      <c r="H55" s="30">
        <f t="shared" si="3"/>
        <v>49.667277924138332</v>
      </c>
      <c r="I55" t="s">
        <v>161</v>
      </c>
    </row>
    <row r="56" spans="3:12">
      <c r="C56" t="s">
        <v>162</v>
      </c>
      <c r="D56" s="113">
        <v>4908.3100000000004</v>
      </c>
      <c r="E56" s="5">
        <f t="shared" si="4"/>
        <v>66262.185000000012</v>
      </c>
      <c r="F56" s="5">
        <f t="shared" si="1"/>
        <v>83490.353100000022</v>
      </c>
      <c r="G56" s="30">
        <f t="shared" si="2"/>
        <v>40.185787945388924</v>
      </c>
      <c r="H56" s="30">
        <f t="shared" si="3"/>
        <v>50.634092811190044</v>
      </c>
    </row>
    <row r="57" spans="3:12">
      <c r="C57" t="s">
        <v>163</v>
      </c>
      <c r="D57" s="113">
        <v>4778.21</v>
      </c>
      <c r="E57" s="5">
        <f t="shared" si="4"/>
        <v>64505.834999999999</v>
      </c>
      <c r="F57" s="5">
        <f t="shared" si="1"/>
        <v>81277.352100000004</v>
      </c>
      <c r="G57" s="30">
        <f t="shared" si="2"/>
        <v>39.120620706217977</v>
      </c>
      <c r="H57" s="30">
        <f t="shared" si="3"/>
        <v>49.291982089834654</v>
      </c>
      <c r="I57" t="s">
        <v>164</v>
      </c>
    </row>
    <row r="58" spans="3:12">
      <c r="D58" s="3"/>
    </row>
    <row r="59" spans="3:12">
      <c r="D59" s="3"/>
    </row>
    <row r="60" spans="3:12">
      <c r="D60" s="3"/>
    </row>
    <row r="61" spans="3:12"/>
    <row r="62" spans="3:12">
      <c r="D62" s="30"/>
      <c r="L62" s="1"/>
    </row>
    <row r="63" spans="3:12">
      <c r="C63" s="30"/>
      <c r="D63" s="30"/>
      <c r="E63" s="3"/>
      <c r="L63" s="1"/>
    </row>
    <row r="64" spans="3:12" hidden="1">
      <c r="L64" s="1"/>
    </row>
    <row r="65" spans="4:12" hidden="1">
      <c r="L65" s="1"/>
    </row>
    <row r="66" spans="4:12" hidden="1">
      <c r="L66" s="1"/>
    </row>
    <row r="67" spans="4:12" hidden="1">
      <c r="D67" s="30"/>
      <c r="L67" s="1"/>
    </row>
    <row r="68" spans="4:12" hidden="1">
      <c r="L68" s="1"/>
    </row>
    <row r="69" spans="4:12" hidden="1">
      <c r="L69" s="1"/>
    </row>
    <row r="70" spans="4:12" hidden="1">
      <c r="L70" s="1"/>
    </row>
    <row r="71" spans="4:12" hidden="1">
      <c r="L71" s="1"/>
    </row>
    <row r="72" spans="4:12" hidden="1">
      <c r="L72" s="1"/>
    </row>
    <row r="73" spans="4:12" hidden="1">
      <c r="L73" s="1"/>
    </row>
  </sheetData>
  <pageMargins left="0.7" right="0.7" top="0.75" bottom="0.75" header="0.3" footer="0.3"/>
  <pageSetup paperSize="9" orientation="portrait" horizontalDpi="4294967293"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1A8472-01AD-446C-AA00-1C43E6183806}">
  <sheetPr>
    <tabColor theme="4" tint="0.59999389629810485"/>
  </sheetPr>
  <dimension ref="A1:Q177"/>
  <sheetViews>
    <sheetView showGridLines="0" zoomScale="85" zoomScaleNormal="85" workbookViewId="0">
      <selection activeCell="E3" sqref="E3"/>
    </sheetView>
  </sheetViews>
  <sheetFormatPr defaultColWidth="0" defaultRowHeight="14.45" zeroHeight="1"/>
  <cols>
    <col min="1" max="1" width="3.85546875" customWidth="1"/>
    <col min="2" max="2" width="5" customWidth="1"/>
    <col min="3" max="3" width="26.7109375" bestFit="1" customWidth="1"/>
    <col min="4" max="4" width="37.42578125" bestFit="1" customWidth="1"/>
    <col min="5" max="5" width="14.85546875" bestFit="1" customWidth="1"/>
    <col min="6" max="6" width="21.85546875" bestFit="1" customWidth="1"/>
    <col min="7" max="7" width="16.5703125" bestFit="1" customWidth="1"/>
    <col min="8" max="8" width="10.7109375" bestFit="1" customWidth="1"/>
    <col min="9" max="9" width="17.5703125" bestFit="1" customWidth="1"/>
    <col min="10" max="10" width="17.42578125" bestFit="1" customWidth="1"/>
    <col min="11" max="11" width="11.5703125" bestFit="1" customWidth="1"/>
    <col min="12" max="12" width="14.140625" customWidth="1"/>
    <col min="13" max="17" width="8.7109375" customWidth="1"/>
    <col min="18" max="16384" width="8.7109375" hidden="1"/>
  </cols>
  <sheetData>
    <row r="1" spans="2:14" ht="11.45" customHeight="1">
      <c r="E1" s="58"/>
      <c r="F1" s="22"/>
      <c r="G1" s="22"/>
      <c r="H1" s="58"/>
      <c r="N1" s="22"/>
    </row>
    <row r="2" spans="2:14">
      <c r="E2" s="84" t="s">
        <v>59</v>
      </c>
      <c r="F2" s="83"/>
      <c r="G2" s="22"/>
      <c r="H2" s="84" t="s">
        <v>20</v>
      </c>
      <c r="N2" s="22"/>
    </row>
    <row r="3" spans="2:14">
      <c r="E3" s="84" t="s">
        <v>2</v>
      </c>
      <c r="F3" s="83"/>
      <c r="G3" s="22"/>
      <c r="H3" s="58"/>
      <c r="N3" s="22"/>
    </row>
    <row r="4" spans="2:14" ht="10.5" customHeight="1">
      <c r="E4" s="58"/>
      <c r="F4" s="22"/>
      <c r="G4" s="22"/>
      <c r="H4" s="58"/>
      <c r="N4" s="22"/>
    </row>
    <row r="5" spans="2:14" s="57" customFormat="1" ht="6" customHeight="1"/>
    <row r="6" spans="2:14"/>
    <row r="7" spans="2:14" s="27" customFormat="1" ht="28.5">
      <c r="C7" s="26" t="s">
        <v>92</v>
      </c>
    </row>
    <row r="8" spans="2:14" ht="15" thickBot="1"/>
    <row r="9" spans="2:14">
      <c r="B9" s="103"/>
      <c r="C9" s="60"/>
      <c r="D9" s="60"/>
      <c r="E9" s="60"/>
      <c r="F9" s="60"/>
      <c r="G9" s="60"/>
      <c r="H9" s="60"/>
      <c r="I9" s="60"/>
      <c r="J9" s="60"/>
      <c r="K9" s="60"/>
      <c r="L9" s="61"/>
    </row>
    <row r="10" spans="2:14" ht="15" thickBot="1">
      <c r="B10" s="62"/>
      <c r="C10" s="86" t="s">
        <v>165</v>
      </c>
      <c r="D10" s="86" t="s">
        <v>110</v>
      </c>
      <c r="E10" s="86" t="s">
        <v>166</v>
      </c>
      <c r="F10" s="86" t="s">
        <v>112</v>
      </c>
      <c r="G10" s="86"/>
      <c r="H10" s="86"/>
      <c r="I10" s="86"/>
      <c r="J10" s="86"/>
      <c r="K10" s="86"/>
      <c r="L10" s="63"/>
    </row>
    <row r="11" spans="2:14" ht="15" thickTop="1">
      <c r="B11" s="62"/>
      <c r="C11" s="21" t="s">
        <v>167</v>
      </c>
      <c r="D11" s="22" t="s">
        <v>168</v>
      </c>
      <c r="E11" s="105">
        <f>F37</f>
        <v>2184.4503999999997</v>
      </c>
      <c r="F11" s="23" t="s">
        <v>169</v>
      </c>
      <c r="G11" s="22"/>
      <c r="H11" s="22"/>
      <c r="I11" s="22"/>
      <c r="J11" s="22"/>
      <c r="K11" s="22"/>
      <c r="L11" s="63"/>
    </row>
    <row r="12" spans="2:14">
      <c r="B12" s="62"/>
      <c r="C12" s="22"/>
      <c r="D12" s="22" t="s">
        <v>170</v>
      </c>
      <c r="E12" s="105">
        <f>(93.67+(89+107)/2)/2*12</f>
        <v>1150.02</v>
      </c>
      <c r="F12" s="23" t="s">
        <v>171</v>
      </c>
      <c r="G12" s="22"/>
      <c r="H12" s="22"/>
      <c r="I12" s="22"/>
      <c r="J12" s="22"/>
      <c r="K12" s="22"/>
      <c r="L12" s="63"/>
    </row>
    <row r="13" spans="2:14">
      <c r="B13" s="62"/>
      <c r="C13" s="22"/>
      <c r="D13" s="22" t="s">
        <v>172</v>
      </c>
      <c r="E13" s="105">
        <v>0</v>
      </c>
      <c r="F13" s="23" t="s">
        <v>173</v>
      </c>
      <c r="G13" s="22"/>
      <c r="H13" s="22"/>
      <c r="I13" s="22"/>
      <c r="J13" s="22"/>
      <c r="K13" s="22"/>
      <c r="L13" s="63"/>
    </row>
    <row r="14" spans="2:14">
      <c r="B14" s="62"/>
      <c r="C14" s="21" t="s">
        <v>174</v>
      </c>
      <c r="D14" s="22" t="s">
        <v>174</v>
      </c>
      <c r="E14" s="105">
        <f>E47</f>
        <v>154.19</v>
      </c>
      <c r="F14" s="105" t="s">
        <v>175</v>
      </c>
      <c r="G14" s="22"/>
      <c r="H14" s="22"/>
      <c r="I14" s="22"/>
      <c r="J14" s="22"/>
      <c r="K14" s="22"/>
      <c r="L14" s="63"/>
    </row>
    <row r="15" spans="2:14">
      <c r="B15" s="62"/>
      <c r="C15" s="21" t="s">
        <v>176</v>
      </c>
      <c r="D15" s="22" t="s">
        <v>177</v>
      </c>
      <c r="E15" s="105">
        <v>250</v>
      </c>
      <c r="F15" s="23" t="s">
        <v>178</v>
      </c>
      <c r="G15" s="22"/>
      <c r="H15" s="22"/>
      <c r="I15" s="22"/>
      <c r="J15" s="22"/>
      <c r="K15" s="22"/>
      <c r="L15" s="63"/>
    </row>
    <row r="16" spans="2:14">
      <c r="B16" s="62"/>
      <c r="C16" s="21"/>
      <c r="D16" s="22" t="s">
        <v>179</v>
      </c>
      <c r="E16" s="105">
        <f>E57</f>
        <v>410</v>
      </c>
      <c r="F16" s="23" t="s">
        <v>169</v>
      </c>
      <c r="G16" s="22"/>
      <c r="H16" s="22"/>
      <c r="I16" s="22"/>
      <c r="J16" s="22"/>
      <c r="K16" s="22"/>
      <c r="L16" s="63"/>
    </row>
    <row r="17" spans="2:12">
      <c r="B17" s="62"/>
      <c r="C17" s="22"/>
      <c r="D17" s="22" t="s">
        <v>180</v>
      </c>
      <c r="E17" s="105">
        <f>E69</f>
        <v>240</v>
      </c>
      <c r="F17" s="23" t="s">
        <v>169</v>
      </c>
      <c r="G17" s="22"/>
      <c r="H17" s="22"/>
      <c r="I17" s="22"/>
      <c r="J17" s="22"/>
      <c r="K17" s="22"/>
      <c r="L17" s="63"/>
    </row>
    <row r="18" spans="2:12">
      <c r="B18" s="62"/>
      <c r="C18" s="21" t="s">
        <v>181</v>
      </c>
      <c r="D18" s="22" t="s">
        <v>182</v>
      </c>
      <c r="E18" s="105">
        <f>1000*1.21</f>
        <v>1210</v>
      </c>
      <c r="F18" s="105" t="s">
        <v>183</v>
      </c>
      <c r="G18" s="22"/>
      <c r="H18" s="22"/>
      <c r="I18" s="22"/>
      <c r="J18" s="22"/>
      <c r="K18" s="22"/>
      <c r="L18" s="63"/>
    </row>
    <row r="19" spans="2:12">
      <c r="B19" s="62"/>
      <c r="C19" s="21"/>
      <c r="D19" s="22" t="s">
        <v>184</v>
      </c>
      <c r="E19" s="105">
        <f>E83</f>
        <v>437.505</v>
      </c>
      <c r="F19" s="23" t="s">
        <v>169</v>
      </c>
      <c r="G19" s="22"/>
      <c r="H19" s="22"/>
      <c r="I19" s="22"/>
      <c r="J19" s="22"/>
      <c r="K19" s="22"/>
      <c r="L19" s="63"/>
    </row>
    <row r="20" spans="2:12">
      <c r="B20" s="62"/>
      <c r="C20" s="21"/>
      <c r="D20" s="22" t="s">
        <v>185</v>
      </c>
      <c r="E20" s="105">
        <f>50*12</f>
        <v>600</v>
      </c>
      <c r="F20" s="23" t="s">
        <v>186</v>
      </c>
      <c r="G20" s="22"/>
      <c r="H20" s="22"/>
      <c r="I20" s="22"/>
      <c r="J20" s="22"/>
      <c r="K20" s="22"/>
      <c r="L20" s="63"/>
    </row>
    <row r="21" spans="2:12">
      <c r="B21" s="62"/>
      <c r="C21" s="21"/>
      <c r="D21" s="22" t="s">
        <v>187</v>
      </c>
      <c r="E21" s="105">
        <f>E96</f>
        <v>3209.4062000000004</v>
      </c>
      <c r="F21" s="105" t="s">
        <v>188</v>
      </c>
      <c r="G21" s="56"/>
      <c r="H21" s="56"/>
      <c r="I21" s="56"/>
      <c r="J21" s="56"/>
      <c r="K21" s="56"/>
      <c r="L21" s="63"/>
    </row>
    <row r="22" spans="2:12">
      <c r="B22" s="62"/>
      <c r="C22" s="21"/>
      <c r="D22" s="56" t="s">
        <v>189</v>
      </c>
      <c r="E22" s="105">
        <f>3*12.5*52</f>
        <v>1950</v>
      </c>
      <c r="F22" s="105" t="s">
        <v>190</v>
      </c>
      <c r="G22" s="22"/>
      <c r="H22" s="22"/>
      <c r="I22" s="22"/>
      <c r="J22" s="22"/>
      <c r="K22" s="22"/>
      <c r="L22" s="63"/>
    </row>
    <row r="23" spans="2:12">
      <c r="B23" s="62"/>
      <c r="C23" s="22"/>
      <c r="D23" s="22" t="s">
        <v>191</v>
      </c>
      <c r="E23" s="105">
        <f>F136</f>
        <v>544.79999999999995</v>
      </c>
      <c r="F23" s="23" t="s">
        <v>169</v>
      </c>
      <c r="G23" s="22"/>
      <c r="H23" s="22"/>
      <c r="I23" s="22"/>
      <c r="J23" s="22"/>
      <c r="K23" s="22"/>
      <c r="L23" s="63"/>
    </row>
    <row r="24" spans="2:12">
      <c r="B24" s="62"/>
      <c r="C24" s="22"/>
      <c r="D24" s="56" t="s">
        <v>192</v>
      </c>
      <c r="E24" s="105">
        <f>(42.65+54.45+42.1+32.98)/4*12</f>
        <v>516.54</v>
      </c>
      <c r="F24" s="105" t="s">
        <v>193</v>
      </c>
      <c r="G24" s="22"/>
      <c r="H24" s="22"/>
      <c r="I24" s="22"/>
      <c r="J24" s="22"/>
      <c r="K24" s="22"/>
      <c r="L24" s="63"/>
    </row>
    <row r="25" spans="2:12" ht="15" thickBot="1">
      <c r="B25" s="62"/>
      <c r="C25" s="18"/>
      <c r="D25" s="19"/>
      <c r="E25" s="19"/>
      <c r="F25" s="25"/>
      <c r="G25" s="22"/>
      <c r="H25" s="22"/>
      <c r="I25" s="22"/>
      <c r="J25" s="22"/>
      <c r="K25" s="22"/>
      <c r="L25" s="63"/>
    </row>
    <row r="26" spans="2:12" ht="15" thickTop="1">
      <c r="B26" s="62"/>
      <c r="C26" s="106" t="s">
        <v>194</v>
      </c>
      <c r="D26" s="22"/>
      <c r="E26" s="107">
        <f>SUM(E11:E25)</f>
        <v>12856.911599999999</v>
      </c>
      <c r="F26" s="24"/>
      <c r="G26" s="22"/>
      <c r="H26" s="22"/>
      <c r="I26" s="22"/>
      <c r="J26" s="22"/>
      <c r="K26" s="22"/>
      <c r="L26" s="63"/>
    </row>
    <row r="27" spans="2:12" ht="15" thickBot="1">
      <c r="B27" s="64"/>
      <c r="C27" s="65"/>
      <c r="D27" s="65"/>
      <c r="E27" s="65"/>
      <c r="F27" s="65"/>
      <c r="G27" s="65"/>
      <c r="H27" s="65"/>
      <c r="I27" s="65"/>
      <c r="J27" s="65"/>
      <c r="K27" s="65"/>
      <c r="L27" s="66"/>
    </row>
    <row r="28" spans="2:12"/>
    <row r="29" spans="2:12">
      <c r="F29" s="41"/>
    </row>
    <row r="30" spans="2:12">
      <c r="C30" s="20" t="s">
        <v>195</v>
      </c>
      <c r="D30" s="17"/>
      <c r="E30" s="17"/>
      <c r="F30" s="17"/>
      <c r="G30" s="17"/>
      <c r="H30" s="17"/>
      <c r="I30" s="17"/>
      <c r="J30" s="17"/>
      <c r="K30" s="17"/>
      <c r="L30" s="17"/>
    </row>
    <row r="31" spans="2:12"/>
    <row r="32" spans="2:12" ht="15" thickBot="1">
      <c r="E32" s="86" t="s">
        <v>196</v>
      </c>
      <c r="F32" s="86" t="s">
        <v>166</v>
      </c>
      <c r="G32" s="86" t="s">
        <v>97</v>
      </c>
      <c r="H32" s="86"/>
    </row>
    <row r="33" spans="3:12" ht="15" thickTop="1">
      <c r="C33" t="s">
        <v>197</v>
      </c>
      <c r="E33">
        <v>7.5</v>
      </c>
      <c r="F33" s="5">
        <f>E33*'Benodigde ruimte'!$D$26</f>
        <v>487.5</v>
      </c>
      <c r="G33" t="s">
        <v>198</v>
      </c>
    </row>
    <row r="34" spans="3:12">
      <c r="C34" t="s">
        <v>199</v>
      </c>
      <c r="E34">
        <v>10</v>
      </c>
      <c r="F34" s="5">
        <f>E34*'Benodigde ruimte'!$D$26</f>
        <v>650</v>
      </c>
      <c r="G34" s="41" t="s">
        <v>198</v>
      </c>
      <c r="H34" s="41"/>
    </row>
    <row r="35" spans="3:12">
      <c r="C35" t="s">
        <v>200</v>
      </c>
      <c r="E35" s="7"/>
      <c r="F35" s="5">
        <v>1046.9503999999997</v>
      </c>
      <c r="G35" t="s">
        <v>201</v>
      </c>
    </row>
    <row r="36" spans="3:12" ht="15" thickBot="1">
      <c r="C36" s="92"/>
      <c r="D36" s="92"/>
      <c r="E36" s="115"/>
      <c r="F36" s="154"/>
    </row>
    <row r="37" spans="3:12" ht="15" thickTop="1">
      <c r="C37" s="1" t="s">
        <v>69</v>
      </c>
      <c r="F37" s="153">
        <f>SUM(F33:F35)</f>
        <v>2184.4503999999997</v>
      </c>
    </row>
    <row r="38" spans="3:12">
      <c r="E38" s="7"/>
    </row>
    <row r="39" spans="3:12">
      <c r="E39" s="7"/>
    </row>
    <row r="40" spans="3:12"/>
    <row r="41" spans="3:12">
      <c r="C41" s="20" t="s">
        <v>202</v>
      </c>
      <c r="D41" s="17"/>
      <c r="E41" s="17"/>
      <c r="F41" s="17"/>
      <c r="G41" s="17"/>
      <c r="H41" s="17"/>
      <c r="I41" s="17"/>
      <c r="J41" s="17"/>
      <c r="K41" s="17"/>
      <c r="L41" s="17"/>
    </row>
    <row r="42" spans="3:12">
      <c r="E42" s="7"/>
    </row>
    <row r="43" spans="3:12" ht="15" thickBot="1">
      <c r="E43" s="86" t="s">
        <v>166</v>
      </c>
      <c r="F43" s="86" t="s">
        <v>97</v>
      </c>
      <c r="G43" s="86"/>
    </row>
    <row r="44" spans="3:12" ht="15" thickTop="1">
      <c r="C44" t="s">
        <v>203</v>
      </c>
      <c r="E44" s="5">
        <v>24.19</v>
      </c>
      <c r="F44" t="s">
        <v>204</v>
      </c>
    </row>
    <row r="45" spans="3:12">
      <c r="C45" t="s">
        <v>205</v>
      </c>
      <c r="E45" s="5">
        <f>65*2</f>
        <v>130</v>
      </c>
      <c r="F45" t="s">
        <v>206</v>
      </c>
    </row>
    <row r="46" spans="3:12" ht="15" thickBot="1">
      <c r="C46" s="92"/>
      <c r="D46" s="92"/>
      <c r="E46" s="154"/>
      <c r="F46" s="24"/>
    </row>
    <row r="47" spans="3:12" ht="15" thickTop="1">
      <c r="C47" s="1" t="s">
        <v>69</v>
      </c>
      <c r="E47" s="152">
        <f>SUM(E44:E45)</f>
        <v>154.19</v>
      </c>
      <c r="F47" s="151"/>
    </row>
    <row r="48" spans="3:12"/>
    <row r="49" spans="3:12"/>
    <row r="50" spans="3:12">
      <c r="C50" s="20" t="s">
        <v>207</v>
      </c>
      <c r="D50" s="17"/>
      <c r="E50" s="17"/>
      <c r="F50" s="17"/>
      <c r="G50" s="17"/>
      <c r="H50" s="17"/>
      <c r="I50" s="17"/>
      <c r="J50" s="17"/>
      <c r="K50" s="17"/>
      <c r="L50" s="17"/>
    </row>
    <row r="51" spans="3:12"/>
    <row r="52" spans="3:12" ht="15" thickBot="1">
      <c r="E52" s="86" t="s">
        <v>166</v>
      </c>
      <c r="F52" s="86" t="s">
        <v>97</v>
      </c>
    </row>
    <row r="53" spans="3:12" ht="15" thickTop="1">
      <c r="C53" t="s">
        <v>208</v>
      </c>
      <c r="E53">
        <v>265</v>
      </c>
    </row>
    <row r="54" spans="3:12">
      <c r="C54" t="s">
        <v>209</v>
      </c>
      <c r="E54">
        <v>50</v>
      </c>
      <c r="F54" t="s">
        <v>210</v>
      </c>
    </row>
    <row r="55" spans="3:12">
      <c r="C55" t="s">
        <v>211</v>
      </c>
      <c r="E55">
        <v>95</v>
      </c>
    </row>
    <row r="56" spans="3:12" ht="15" thickBot="1">
      <c r="C56" s="92"/>
      <c r="D56" s="92"/>
      <c r="E56" s="92"/>
    </row>
    <row r="57" spans="3:12" ht="15" thickTop="1">
      <c r="C57" s="1" t="s">
        <v>212</v>
      </c>
      <c r="E57" s="152">
        <f>SUM(E53:E55)</f>
        <v>410</v>
      </c>
    </row>
    <row r="58" spans="3:12"/>
    <row r="59" spans="3:12"/>
    <row r="60" spans="3:12"/>
    <row r="61" spans="3:12">
      <c r="C61" s="20" t="s">
        <v>213</v>
      </c>
      <c r="D61" s="17"/>
      <c r="E61" s="17"/>
      <c r="F61" s="17"/>
      <c r="G61" s="17"/>
      <c r="H61" s="17"/>
      <c r="I61" s="17"/>
      <c r="J61" s="17"/>
      <c r="K61" s="17"/>
      <c r="L61" s="17"/>
    </row>
    <row r="62" spans="3:12"/>
    <row r="63" spans="3:12" ht="15" thickBot="1">
      <c r="E63" s="86" t="s">
        <v>166</v>
      </c>
      <c r="F63" s="86" t="s">
        <v>97</v>
      </c>
    </row>
    <row r="64" spans="3:12" ht="15" thickTop="1">
      <c r="C64" t="s">
        <v>214</v>
      </c>
      <c r="E64">
        <v>170</v>
      </c>
      <c r="F64" s="40"/>
    </row>
    <row r="65" spans="3:12">
      <c r="C65" t="s">
        <v>215</v>
      </c>
    </row>
    <row r="66" spans="3:12">
      <c r="C66" t="s">
        <v>216</v>
      </c>
      <c r="E66">
        <v>70</v>
      </c>
    </row>
    <row r="67" spans="3:12">
      <c r="C67" t="s">
        <v>217</v>
      </c>
    </row>
    <row r="68" spans="3:12" ht="15" thickBot="1">
      <c r="C68" s="92"/>
      <c r="D68" s="92"/>
      <c r="E68" s="92"/>
    </row>
    <row r="69" spans="3:12" ht="15" thickTop="1">
      <c r="C69" s="1" t="s">
        <v>212</v>
      </c>
      <c r="E69" s="152">
        <f>SUM(E64:E67)</f>
        <v>240</v>
      </c>
    </row>
    <row r="70" spans="3:12"/>
    <row r="71" spans="3:12"/>
    <row r="72" spans="3:12">
      <c r="C72" s="20" t="s">
        <v>218</v>
      </c>
      <c r="D72" s="17"/>
      <c r="E72" s="17"/>
      <c r="F72" s="17"/>
      <c r="G72" s="17"/>
      <c r="H72" s="17"/>
      <c r="I72" s="17"/>
      <c r="J72" s="17"/>
      <c r="K72" s="17"/>
      <c r="L72" s="17"/>
    </row>
    <row r="73" spans="3:12"/>
    <row r="74" spans="3:12" ht="15" thickBot="1">
      <c r="E74" s="86" t="s">
        <v>166</v>
      </c>
      <c r="F74" s="86" t="s">
        <v>97</v>
      </c>
      <c r="G74" s="86"/>
      <c r="H74" s="86"/>
      <c r="I74" s="86"/>
      <c r="J74" s="86"/>
      <c r="K74" s="86"/>
      <c r="L74" s="86"/>
    </row>
    <row r="75" spans="3:12" ht="15" thickTop="1">
      <c r="C75" s="1" t="s">
        <v>219</v>
      </c>
      <c r="E75" s="37">
        <f>AVERAGE(E77:E78)</f>
        <v>212.505</v>
      </c>
    </row>
    <row r="76" spans="3:12">
      <c r="C76" s="39" t="s">
        <v>220</v>
      </c>
      <c r="D76" s="39"/>
      <c r="E76" s="39">
        <v>78.83</v>
      </c>
      <c r="F76" t="s">
        <v>221</v>
      </c>
    </row>
    <row r="77" spans="3:12">
      <c r="C77" t="s">
        <v>222</v>
      </c>
      <c r="E77">
        <v>157.47</v>
      </c>
      <c r="F77" t="s">
        <v>221</v>
      </c>
    </row>
    <row r="78" spans="3:12">
      <c r="C78" t="s">
        <v>223</v>
      </c>
      <c r="E78">
        <v>267.54000000000002</v>
      </c>
      <c r="F78" t="s">
        <v>221</v>
      </c>
    </row>
    <row r="79" spans="3:12"/>
    <row r="80" spans="3:12">
      <c r="C80" s="1" t="s">
        <v>224</v>
      </c>
      <c r="E80" s="1">
        <f>(250+200)/2</f>
        <v>225</v>
      </c>
      <c r="F80" t="s">
        <v>225</v>
      </c>
    </row>
    <row r="81" spans="3:12">
      <c r="C81" s="148" t="s">
        <v>226</v>
      </c>
      <c r="D81" s="149"/>
      <c r="E81" s="148">
        <v>0</v>
      </c>
      <c r="F81" s="41" t="s">
        <v>227</v>
      </c>
      <c r="G81" s="41"/>
      <c r="H81" s="41"/>
      <c r="I81" s="41"/>
    </row>
    <row r="82" spans="3:12" ht="15" thickBot="1">
      <c r="C82" s="92"/>
      <c r="D82" s="92"/>
      <c r="E82" s="92"/>
      <c r="F82" s="41"/>
      <c r="G82" s="41"/>
      <c r="H82" s="41"/>
      <c r="I82" s="41"/>
    </row>
    <row r="83" spans="3:12" ht="15" thickTop="1">
      <c r="C83" s="1" t="s">
        <v>228</v>
      </c>
      <c r="E83" s="150">
        <f>E75+E80+E81</f>
        <v>437.505</v>
      </c>
      <c r="F83" s="41"/>
      <c r="G83" s="41"/>
      <c r="H83" s="41"/>
      <c r="I83" s="41"/>
    </row>
    <row r="84" spans="3:12"/>
    <row r="85" spans="3:12"/>
    <row r="86" spans="3:12">
      <c r="C86" s="20" t="s">
        <v>229</v>
      </c>
      <c r="D86" s="17"/>
      <c r="E86" s="17"/>
      <c r="F86" s="17"/>
      <c r="G86" s="17"/>
      <c r="H86" s="17"/>
      <c r="I86" s="17"/>
      <c r="J86" s="17"/>
      <c r="K86" s="17"/>
      <c r="L86" s="17"/>
    </row>
    <row r="87" spans="3:12">
      <c r="E87" s="7"/>
    </row>
    <row r="88" spans="3:12">
      <c r="C88" t="s">
        <v>230</v>
      </c>
      <c r="E88" s="7"/>
    </row>
    <row r="89" spans="3:12">
      <c r="E89" s="7"/>
    </row>
    <row r="90" spans="3:12" ht="15" thickBot="1">
      <c r="E90" s="86" t="s">
        <v>166</v>
      </c>
      <c r="F90" s="86" t="s">
        <v>97</v>
      </c>
      <c r="G90" s="86"/>
      <c r="H90" s="86"/>
    </row>
    <row r="91" spans="3:12" ht="15" thickTop="1"/>
    <row r="92" spans="3:12">
      <c r="C92" s="1" t="s">
        <v>231</v>
      </c>
      <c r="D92" s="1"/>
      <c r="E92" s="42"/>
    </row>
    <row r="93" spans="3:12">
      <c r="C93" s="1" t="s">
        <v>232</v>
      </c>
      <c r="D93" s="1"/>
      <c r="E93" s="127">
        <v>9061</v>
      </c>
      <c r="F93" s="41" t="s">
        <v>233</v>
      </c>
      <c r="G93" s="41"/>
      <c r="H93" s="41"/>
    </row>
    <row r="94" spans="3:12">
      <c r="C94" s="1" t="s">
        <v>234</v>
      </c>
      <c r="D94" s="1"/>
      <c r="E94" s="42">
        <v>0.35420000000000001</v>
      </c>
      <c r="F94" t="s">
        <v>235</v>
      </c>
    </row>
    <row r="95" spans="3:12" ht="15" thickBot="1">
      <c r="C95" s="92"/>
      <c r="D95" s="92"/>
      <c r="E95" s="92"/>
      <c r="J95" t="s">
        <v>236</v>
      </c>
    </row>
    <row r="96" spans="3:12" ht="15" thickTop="1">
      <c r="C96" s="1" t="s">
        <v>69</v>
      </c>
      <c r="E96" s="93">
        <f>E93*E94</f>
        <v>3209.4062000000004</v>
      </c>
      <c r="G96" s="30"/>
      <c r="J96" t="s">
        <v>237</v>
      </c>
    </row>
    <row r="97" spans="3:12">
      <c r="F97" s="30"/>
    </row>
    <row r="98" spans="3:12">
      <c r="C98" s="1" t="s">
        <v>238</v>
      </c>
    </row>
    <row r="99" spans="3:12">
      <c r="C99" t="s">
        <v>239</v>
      </c>
      <c r="E99" s="5">
        <f>25000/5</f>
        <v>5000</v>
      </c>
      <c r="F99" t="s">
        <v>240</v>
      </c>
    </row>
    <row r="100" spans="3:12">
      <c r="C100" t="s">
        <v>241</v>
      </c>
      <c r="E100" s="5">
        <f>E93/100*9</f>
        <v>815.49</v>
      </c>
      <c r="F100" t="s">
        <v>242</v>
      </c>
      <c r="G100" s="30"/>
    </row>
    <row r="101" spans="3:12">
      <c r="C101" t="s">
        <v>243</v>
      </c>
      <c r="E101" s="5">
        <f>50*12</f>
        <v>600</v>
      </c>
      <c r="F101" t="s">
        <v>244</v>
      </c>
    </row>
    <row r="102" spans="3:12">
      <c r="C102" t="s">
        <v>245</v>
      </c>
      <c r="E102" s="5">
        <v>1200</v>
      </c>
      <c r="F102" t="s">
        <v>246</v>
      </c>
    </row>
    <row r="103" spans="3:12">
      <c r="C103" t="s">
        <v>247</v>
      </c>
      <c r="E103" s="5">
        <v>500</v>
      </c>
      <c r="F103" t="s">
        <v>248</v>
      </c>
    </row>
    <row r="104" spans="3:12">
      <c r="E104" s="7"/>
    </row>
    <row r="105" spans="3:12">
      <c r="C105" s="1" t="s">
        <v>69</v>
      </c>
      <c r="D105" s="1"/>
      <c r="E105" s="42">
        <f>SUM(E99:E103)</f>
        <v>8115.49</v>
      </c>
      <c r="F105" s="30"/>
    </row>
    <row r="106" spans="3:12"/>
    <row r="107" spans="3:12"/>
    <row r="108" spans="3:12">
      <c r="C108" s="20" t="s">
        <v>249</v>
      </c>
      <c r="D108" s="17"/>
      <c r="E108" s="17"/>
      <c r="F108" s="17"/>
      <c r="G108" s="17"/>
      <c r="H108" s="17"/>
      <c r="I108" s="17"/>
      <c r="J108" s="17"/>
      <c r="K108" s="17"/>
      <c r="L108" s="17"/>
    </row>
    <row r="109" spans="3:12"/>
    <row r="110" spans="3:12">
      <c r="C110" t="s">
        <v>250</v>
      </c>
    </row>
    <row r="111" spans="3:12"/>
    <row r="112" spans="3:12"/>
    <row r="113" spans="3:12"/>
    <row r="114" spans="3:12"/>
    <row r="115" spans="3:12"/>
    <row r="116" spans="3:12"/>
    <row r="117" spans="3:12"/>
    <row r="118" spans="3:12"/>
    <row r="119" spans="3:12"/>
    <row r="120" spans="3:12"/>
    <row r="121" spans="3:12">
      <c r="D121" s="56"/>
    </row>
    <row r="122" spans="3:12">
      <c r="D122" s="56"/>
    </row>
    <row r="123" spans="3:12">
      <c r="D123" s="56"/>
    </row>
    <row r="124" spans="3:12">
      <c r="D124" s="56"/>
    </row>
    <row r="125" spans="3:12">
      <c r="D125" s="56"/>
    </row>
    <row r="126" spans="3:12">
      <c r="D126" s="56"/>
    </row>
    <row r="127" spans="3:12">
      <c r="D127" s="56"/>
    </row>
    <row r="128" spans="3:12">
      <c r="C128" s="20" t="s">
        <v>251</v>
      </c>
      <c r="D128" s="17"/>
      <c r="E128" s="17"/>
      <c r="F128" s="17"/>
      <c r="G128" s="17"/>
      <c r="H128" s="17"/>
      <c r="I128" s="17"/>
      <c r="J128" s="17"/>
      <c r="K128" s="17"/>
      <c r="L128" s="17"/>
    </row>
    <row r="129" spans="3:12"/>
    <row r="130" spans="3:12" ht="15" thickBot="1">
      <c r="E130" s="86" t="s">
        <v>252</v>
      </c>
      <c r="F130" s="86" t="s">
        <v>253</v>
      </c>
    </row>
    <row r="131" spans="3:12" ht="15" thickTop="1">
      <c r="C131" t="s">
        <v>254</v>
      </c>
      <c r="F131" s="5">
        <v>21</v>
      </c>
    </row>
    <row r="132" spans="3:12">
      <c r="C132" t="s">
        <v>255</v>
      </c>
      <c r="E132">
        <v>12.95</v>
      </c>
      <c r="F132" s="5">
        <f>E132*12</f>
        <v>155.39999999999998</v>
      </c>
    </row>
    <row r="133" spans="3:12">
      <c r="C133" t="s">
        <v>256</v>
      </c>
      <c r="E133">
        <v>11.95</v>
      </c>
      <c r="F133" s="5">
        <f>E133*12</f>
        <v>143.39999999999998</v>
      </c>
    </row>
    <row r="134" spans="3:12">
      <c r="C134" s="22" t="s">
        <v>257</v>
      </c>
      <c r="D134" s="22"/>
      <c r="E134" s="22">
        <v>18.75</v>
      </c>
      <c r="F134" s="109">
        <f>E134*12</f>
        <v>225</v>
      </c>
    </row>
    <row r="135" spans="3:12" ht="15" thickBot="1">
      <c r="C135" s="92"/>
      <c r="D135" s="92"/>
      <c r="E135" s="92"/>
      <c r="F135" s="154"/>
    </row>
    <row r="136" spans="3:12" ht="15" thickTop="1">
      <c r="C136" s="1" t="s">
        <v>69</v>
      </c>
      <c r="F136" s="152">
        <f>SUM(F131:F134)</f>
        <v>544.79999999999995</v>
      </c>
    </row>
    <row r="137" spans="3:12"/>
    <row r="138" spans="3:12"/>
    <row r="139" spans="3:12">
      <c r="C139" s="20" t="s">
        <v>258</v>
      </c>
      <c r="D139" s="17"/>
      <c r="E139" s="17"/>
      <c r="F139" s="17"/>
      <c r="G139" s="17"/>
      <c r="H139" s="17"/>
      <c r="I139" s="17"/>
      <c r="J139" s="17"/>
      <c r="K139" s="17"/>
      <c r="L139" s="17"/>
    </row>
    <row r="140" spans="3:12"/>
    <row r="141" spans="3:12">
      <c r="C141" t="s">
        <v>259</v>
      </c>
    </row>
    <row r="142" spans="3:12"/>
    <row r="143" spans="3:12">
      <c r="C143" s="161" t="s">
        <v>260</v>
      </c>
    </row>
    <row r="144" spans="3:12"/>
    <row r="145" spans="8:8">
      <c r="H145" t="s">
        <v>261</v>
      </c>
    </row>
    <row r="146" spans="8:8">
      <c r="H146" t="s">
        <v>262</v>
      </c>
    </row>
    <row r="147" spans="8:8">
      <c r="H147" t="s">
        <v>263</v>
      </c>
    </row>
    <row r="148" spans="8:8"/>
    <row r="149" spans="8:8"/>
    <row r="150" spans="8:8"/>
    <row r="151" spans="8:8"/>
    <row r="152" spans="8:8"/>
    <row r="153" spans="8:8"/>
    <row r="154" spans="8:8"/>
    <row r="155" spans="8:8"/>
    <row r="156" spans="8:8"/>
    <row r="157" spans="8:8"/>
    <row r="158" spans="8:8"/>
    <row r="159" spans="8:8"/>
    <row r="160" spans="8:8"/>
    <row r="161" spans="4:4"/>
    <row r="162" spans="4:4"/>
    <row r="163" spans="4:4"/>
    <row r="164" spans="4:4"/>
    <row r="165" spans="4:4"/>
    <row r="166" spans="4:4">
      <c r="D166" s="56"/>
    </row>
    <row r="167" spans="4:4"/>
    <row r="168" spans="4:4"/>
    <row r="169" spans="4:4"/>
    <row r="170" spans="4:4"/>
    <row r="171" spans="4:4"/>
    <row r="172" spans="4:4"/>
    <row r="173" spans="4:4"/>
    <row r="174" spans="4:4"/>
    <row r="175" spans="4:4"/>
    <row r="176" spans="4:4"/>
    <row r="177"/>
  </sheetData>
  <hyperlinks>
    <hyperlink ref="C143" r:id="rId1" xr:uid="{FF308200-934A-4B3E-8AED-1FB240909B6F}"/>
  </hyperlinks>
  <pageMargins left="0.7" right="0.7" top="0.75" bottom="0.75" header="0.3" footer="0.3"/>
  <pageSetup paperSize="9" orientation="portrait" horizontalDpi="4294967293" verticalDpi="0"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4E7AE8-F6D8-4186-ADDC-9DD85B21D9F8}">
  <sheetPr>
    <tabColor theme="4" tint="0.59999389629810485"/>
  </sheetPr>
  <dimension ref="A1:T107"/>
  <sheetViews>
    <sheetView showGridLines="0" zoomScaleNormal="100" workbookViewId="0">
      <selection activeCell="E3" sqref="E3"/>
    </sheetView>
  </sheetViews>
  <sheetFormatPr defaultColWidth="0" defaultRowHeight="14.45" zeroHeight="1"/>
  <cols>
    <col min="1" max="1" width="5.28515625" customWidth="1"/>
    <col min="2" max="2" width="5.7109375" customWidth="1"/>
    <col min="3" max="3" width="36.85546875" customWidth="1"/>
    <col min="4" max="4" width="10.140625" bestFit="1" customWidth="1"/>
    <col min="5" max="5" width="14.42578125" customWidth="1"/>
    <col min="6" max="8" width="8.7109375" customWidth="1"/>
    <col min="9" max="9" width="10.85546875" customWidth="1"/>
    <col min="10" max="20" width="8.7109375" customWidth="1"/>
    <col min="21" max="16384" width="8.7109375" hidden="1"/>
  </cols>
  <sheetData>
    <row r="1" spans="2:17" ht="11.45" customHeight="1">
      <c r="E1" s="58"/>
      <c r="F1" s="22"/>
      <c r="G1" s="22"/>
      <c r="H1" s="22"/>
      <c r="I1" s="22"/>
      <c r="J1" s="58"/>
      <c r="N1" s="22"/>
    </row>
    <row r="2" spans="2:17">
      <c r="E2" s="84" t="s">
        <v>59</v>
      </c>
      <c r="F2" s="83"/>
      <c r="G2" s="22"/>
      <c r="H2" s="22"/>
      <c r="I2" s="22"/>
      <c r="J2" s="84" t="s">
        <v>22</v>
      </c>
      <c r="N2" s="22"/>
    </row>
    <row r="3" spans="2:17">
      <c r="E3" s="84" t="s">
        <v>2</v>
      </c>
      <c r="F3" s="83"/>
      <c r="G3" s="22"/>
      <c r="H3" s="22"/>
      <c r="I3" s="22"/>
      <c r="J3" s="58"/>
      <c r="N3" s="22"/>
    </row>
    <row r="4" spans="2:17" ht="10.5" customHeight="1">
      <c r="E4" s="58"/>
      <c r="F4" s="22"/>
      <c r="G4" s="22"/>
      <c r="H4" s="22"/>
      <c r="I4" s="22"/>
      <c r="J4" s="58"/>
      <c r="N4" s="22"/>
    </row>
    <row r="5" spans="2:17" s="57" customFormat="1" ht="6" customHeight="1"/>
    <row r="6" spans="2:17" ht="15" thickBot="1"/>
    <row r="7" spans="2:17">
      <c r="B7" s="134"/>
      <c r="C7" s="135"/>
      <c r="D7" s="135"/>
      <c r="E7" s="135"/>
      <c r="F7" s="135"/>
      <c r="G7" s="135"/>
      <c r="H7" s="135"/>
      <c r="I7" s="135"/>
      <c r="J7" s="135"/>
      <c r="K7" s="135"/>
      <c r="L7" s="135"/>
      <c r="M7" s="135"/>
      <c r="N7" s="135"/>
      <c r="O7" s="135"/>
      <c r="P7" s="135"/>
      <c r="Q7" s="136"/>
    </row>
    <row r="8" spans="2:17" ht="15" thickBot="1">
      <c r="B8" s="137"/>
      <c r="C8" s="86" t="s">
        <v>93</v>
      </c>
      <c r="D8" s="86" t="s">
        <v>130</v>
      </c>
      <c r="E8" s="86" t="s">
        <v>97</v>
      </c>
      <c r="F8" s="86"/>
      <c r="G8" s="86"/>
      <c r="H8" s="86"/>
      <c r="I8" s="86"/>
      <c r="J8" s="86"/>
      <c r="K8" s="86"/>
      <c r="L8" s="86"/>
      <c r="M8" s="86"/>
      <c r="N8" s="86"/>
      <c r="O8" s="86"/>
      <c r="P8" s="86"/>
      <c r="Q8" s="138"/>
    </row>
    <row r="9" spans="2:17" ht="17.100000000000001" thickTop="1">
      <c r="B9" s="137"/>
      <c r="C9" s="22" t="s">
        <v>264</v>
      </c>
      <c r="D9" s="98">
        <v>120</v>
      </c>
      <c r="E9" s="22" t="s">
        <v>265</v>
      </c>
      <c r="F9" s="22"/>
      <c r="G9" s="22"/>
      <c r="H9" s="22"/>
      <c r="I9" s="22"/>
      <c r="J9" s="22"/>
      <c r="K9" s="22"/>
      <c r="L9" s="22"/>
      <c r="M9" s="22"/>
      <c r="N9" s="22"/>
      <c r="O9" s="22"/>
      <c r="P9" s="22"/>
      <c r="Q9" s="138"/>
    </row>
    <row r="10" spans="2:17" ht="16.5">
      <c r="B10" s="137"/>
      <c r="C10" s="22" t="s">
        <v>266</v>
      </c>
      <c r="D10" s="171">
        <f>D26</f>
        <v>65</v>
      </c>
      <c r="E10" s="41" t="s">
        <v>233</v>
      </c>
      <c r="F10" s="41"/>
      <c r="G10" s="41"/>
      <c r="H10" s="41"/>
      <c r="I10" s="41"/>
      <c r="J10" s="41"/>
      <c r="K10" s="41"/>
      <c r="L10" s="41"/>
      <c r="M10" s="22"/>
      <c r="N10" s="22"/>
      <c r="O10" s="22"/>
      <c r="P10" s="22"/>
      <c r="Q10" s="138"/>
    </row>
    <row r="11" spans="2:17" ht="15" thickBot="1">
      <c r="B11" s="137"/>
      <c r="C11" s="92"/>
      <c r="D11" s="125"/>
      <c r="E11" s="22"/>
      <c r="F11" s="22"/>
      <c r="G11" s="22"/>
      <c r="H11" s="22"/>
      <c r="I11" s="22"/>
      <c r="J11" s="22"/>
      <c r="K11" s="22"/>
      <c r="L11" s="22"/>
      <c r="M11" s="22"/>
      <c r="N11" s="22"/>
      <c r="O11" s="22"/>
      <c r="P11" s="22"/>
      <c r="Q11" s="138"/>
    </row>
    <row r="12" spans="2:17" ht="15" thickTop="1">
      <c r="B12" s="137"/>
      <c r="C12" s="22" t="s">
        <v>267</v>
      </c>
      <c r="D12" s="119">
        <f>D9*D10</f>
        <v>7800</v>
      </c>
      <c r="E12" s="22"/>
      <c r="F12" s="22"/>
      <c r="G12" s="22"/>
      <c r="H12" s="22"/>
      <c r="I12" s="22"/>
      <c r="J12" s="22"/>
      <c r="K12" s="22"/>
      <c r="L12" s="22"/>
      <c r="M12" s="22"/>
      <c r="N12" s="22"/>
      <c r="O12" s="22"/>
      <c r="P12" s="22"/>
      <c r="Q12" s="138"/>
    </row>
    <row r="13" spans="2:17" ht="15" thickBot="1">
      <c r="B13" s="139"/>
      <c r="C13" s="140"/>
      <c r="D13" s="140"/>
      <c r="E13" s="140"/>
      <c r="F13" s="140"/>
      <c r="G13" s="140"/>
      <c r="H13" s="140"/>
      <c r="I13" s="140"/>
      <c r="J13" s="140"/>
      <c r="K13" s="140"/>
      <c r="L13" s="140"/>
      <c r="M13" s="140"/>
      <c r="N13" s="140"/>
      <c r="O13" s="140"/>
      <c r="P13" s="140"/>
      <c r="Q13" s="141"/>
    </row>
    <row r="14" spans="2:17"/>
    <row r="15" spans="2:17"/>
    <row r="16" spans="2:17"/>
    <row r="17" spans="3:16">
      <c r="C17" s="20" t="s">
        <v>268</v>
      </c>
      <c r="D17" s="17"/>
      <c r="E17" s="17"/>
      <c r="F17" s="17"/>
      <c r="G17" s="17"/>
      <c r="H17" s="17"/>
      <c r="I17" s="17"/>
      <c r="J17" s="17"/>
      <c r="K17" s="17"/>
      <c r="L17" s="17"/>
      <c r="M17" s="17"/>
      <c r="N17" s="17"/>
      <c r="O17" s="17"/>
      <c r="P17" s="17"/>
    </row>
    <row r="18" spans="3:16"/>
    <row r="19" spans="3:16"/>
    <row r="20" spans="3:16" ht="17.100000000000001" thickBot="1">
      <c r="C20" s="86" t="s">
        <v>269</v>
      </c>
      <c r="D20" s="86" t="s">
        <v>270</v>
      </c>
    </row>
    <row r="21" spans="3:16" ht="15" thickTop="1">
      <c r="C21" t="s">
        <v>271</v>
      </c>
    </row>
    <row r="22" spans="3:16">
      <c r="C22" t="s">
        <v>272</v>
      </c>
    </row>
    <row r="23" spans="3:16">
      <c r="C23" t="s">
        <v>273</v>
      </c>
    </row>
    <row r="24" spans="3:16">
      <c r="C24" t="s">
        <v>274</v>
      </c>
    </row>
    <row r="25" spans="3:16" ht="15" thickBot="1">
      <c r="C25" s="92"/>
      <c r="D25" s="92"/>
    </row>
    <row r="26" spans="3:16" ht="15" thickTop="1">
      <c r="C26" s="94" t="s">
        <v>275</v>
      </c>
      <c r="D26" s="93">
        <v>65</v>
      </c>
      <c r="F26" s="41" t="s">
        <v>233</v>
      </c>
      <c r="G26" s="41"/>
      <c r="H26" s="41"/>
      <c r="I26" s="41"/>
      <c r="J26" s="41"/>
      <c r="K26" s="41"/>
      <c r="L26" s="41"/>
      <c r="M26" s="41"/>
    </row>
    <row r="27" spans="3:16"/>
    <row r="28" spans="3:16"/>
    <row r="29" spans="3:16"/>
    <row r="30" spans="3:16">
      <c r="C30" s="20" t="s">
        <v>276</v>
      </c>
      <c r="D30" s="17"/>
      <c r="E30" s="17"/>
      <c r="F30" s="17"/>
      <c r="G30" s="17"/>
      <c r="H30" s="17"/>
      <c r="I30" s="17"/>
      <c r="J30" s="17"/>
      <c r="K30" s="17"/>
      <c r="L30" s="17"/>
      <c r="M30" s="17"/>
      <c r="N30" s="17"/>
      <c r="O30" s="17"/>
      <c r="P30" s="17"/>
    </row>
    <row r="31" spans="3:16"/>
    <row r="32" spans="3:16">
      <c r="C32" s="91" t="s">
        <v>277</v>
      </c>
    </row>
    <row r="33" spans="3:9" ht="16.5">
      <c r="C33" t="s">
        <v>278</v>
      </c>
    </row>
    <row r="34" spans="3:9"/>
    <row r="35" spans="3:9" ht="31.5" thickBot="1">
      <c r="C35" s="126" t="s">
        <v>279</v>
      </c>
      <c r="D35" s="126" t="s">
        <v>280</v>
      </c>
      <c r="E35" s="112" t="s">
        <v>281</v>
      </c>
      <c r="F35" s="86" t="s">
        <v>282</v>
      </c>
      <c r="G35" s="86"/>
      <c r="H35" s="86"/>
      <c r="I35" s="86"/>
    </row>
    <row r="36" spans="3:9" ht="15" thickTop="1">
      <c r="C36">
        <v>1200</v>
      </c>
      <c r="D36">
        <v>110</v>
      </c>
      <c r="E36" s="16">
        <f>C36*12/D36</f>
        <v>130.90909090909091</v>
      </c>
      <c r="F36">
        <v>1050</v>
      </c>
      <c r="G36" t="s">
        <v>283</v>
      </c>
    </row>
    <row r="37" spans="3:9">
      <c r="C37">
        <v>850</v>
      </c>
      <c r="D37">
        <v>65</v>
      </c>
      <c r="E37" s="16">
        <f t="shared" ref="E37:E55" si="0">C37*12/D37</f>
        <v>156.92307692307693</v>
      </c>
      <c r="F37">
        <v>1030</v>
      </c>
      <c r="G37" t="s">
        <v>284</v>
      </c>
    </row>
    <row r="38" spans="3:9">
      <c r="C38">
        <v>975</v>
      </c>
      <c r="D38">
        <v>175</v>
      </c>
      <c r="E38" s="16">
        <f t="shared" si="0"/>
        <v>66.857142857142861</v>
      </c>
      <c r="F38">
        <v>9300</v>
      </c>
      <c r="G38" t="s">
        <v>285</v>
      </c>
    </row>
    <row r="39" spans="3:9">
      <c r="C39">
        <v>1000</v>
      </c>
      <c r="D39">
        <v>65</v>
      </c>
      <c r="E39" s="16">
        <f t="shared" si="0"/>
        <v>184.61538461538461</v>
      </c>
      <c r="F39">
        <v>1180</v>
      </c>
      <c r="G39" t="s">
        <v>286</v>
      </c>
    </row>
    <row r="40" spans="3:9">
      <c r="C40">
        <v>2400</v>
      </c>
      <c r="D40">
        <v>170</v>
      </c>
      <c r="E40" s="16">
        <f t="shared" si="0"/>
        <v>169.41176470588235</v>
      </c>
      <c r="F40">
        <v>1090</v>
      </c>
      <c r="G40" t="s">
        <v>287</v>
      </c>
    </row>
    <row r="41" spans="3:9">
      <c r="C41">
        <v>2000</v>
      </c>
      <c r="D41">
        <v>230</v>
      </c>
      <c r="E41" s="16">
        <f t="shared" si="0"/>
        <v>104.34782608695652</v>
      </c>
      <c r="F41">
        <v>1300</v>
      </c>
      <c r="G41" t="s">
        <v>288</v>
      </c>
    </row>
    <row r="42" spans="3:9">
      <c r="C42">
        <v>1000</v>
      </c>
      <c r="D42">
        <v>60</v>
      </c>
      <c r="E42" s="16">
        <f t="shared" si="0"/>
        <v>200</v>
      </c>
      <c r="F42">
        <v>1310</v>
      </c>
      <c r="G42" t="s">
        <v>289</v>
      </c>
    </row>
    <row r="43" spans="3:9">
      <c r="C43">
        <v>1400</v>
      </c>
      <c r="D43">
        <v>160</v>
      </c>
      <c r="E43" s="16">
        <f t="shared" si="0"/>
        <v>105</v>
      </c>
      <c r="F43">
        <v>1300</v>
      </c>
      <c r="G43" t="s">
        <v>288</v>
      </c>
    </row>
    <row r="44" spans="3:9">
      <c r="C44">
        <v>1280</v>
      </c>
      <c r="D44">
        <v>75</v>
      </c>
      <c r="E44" s="16">
        <f t="shared" si="0"/>
        <v>204.8</v>
      </c>
      <c r="F44">
        <v>9050</v>
      </c>
      <c r="G44" t="s">
        <v>290</v>
      </c>
    </row>
    <row r="45" spans="3:9">
      <c r="C45">
        <v>1700</v>
      </c>
      <c r="D45">
        <v>160</v>
      </c>
      <c r="E45" s="16">
        <f t="shared" si="0"/>
        <v>127.5</v>
      </c>
      <c r="F45">
        <v>1400</v>
      </c>
      <c r="G45" t="s">
        <v>291</v>
      </c>
    </row>
    <row r="46" spans="3:9">
      <c r="C46">
        <v>1600</v>
      </c>
      <c r="D46">
        <v>170</v>
      </c>
      <c r="E46" s="16">
        <f t="shared" si="0"/>
        <v>112.94117647058823</v>
      </c>
      <c r="F46">
        <v>1640</v>
      </c>
      <c r="G46" t="s">
        <v>292</v>
      </c>
    </row>
    <row r="47" spans="3:9">
      <c r="C47">
        <v>1442</v>
      </c>
      <c r="D47">
        <v>173</v>
      </c>
      <c r="E47" s="16">
        <f t="shared" si="0"/>
        <v>100.02312138728324</v>
      </c>
      <c r="F47">
        <v>2018</v>
      </c>
      <c r="G47" t="s">
        <v>293</v>
      </c>
    </row>
    <row r="48" spans="3:9">
      <c r="C48">
        <v>1550</v>
      </c>
      <c r="D48">
        <v>120</v>
      </c>
      <c r="E48" s="16">
        <f t="shared" si="0"/>
        <v>155</v>
      </c>
      <c r="F48">
        <v>4000</v>
      </c>
      <c r="G48" t="s">
        <v>294</v>
      </c>
    </row>
    <row r="49" spans="3:7">
      <c r="C49">
        <v>875</v>
      </c>
      <c r="D49">
        <v>160</v>
      </c>
      <c r="E49" s="16">
        <f t="shared" si="0"/>
        <v>65.625</v>
      </c>
      <c r="F49">
        <v>3680</v>
      </c>
      <c r="G49" t="s">
        <v>295</v>
      </c>
    </row>
    <row r="50" spans="3:7">
      <c r="C50">
        <v>650</v>
      </c>
      <c r="D50">
        <v>56</v>
      </c>
      <c r="E50" s="16">
        <f t="shared" si="0"/>
        <v>139.28571428571428</v>
      </c>
      <c r="F50">
        <v>4280</v>
      </c>
      <c r="G50" t="s">
        <v>296</v>
      </c>
    </row>
    <row r="51" spans="3:7">
      <c r="C51">
        <v>650</v>
      </c>
      <c r="D51">
        <v>64</v>
      </c>
      <c r="E51" s="16">
        <f t="shared" si="0"/>
        <v>121.875</v>
      </c>
      <c r="F51">
        <v>9500</v>
      </c>
      <c r="G51" t="s">
        <v>297</v>
      </c>
    </row>
    <row r="52" spans="3:7">
      <c r="C52">
        <v>1200</v>
      </c>
      <c r="D52">
        <v>80</v>
      </c>
      <c r="E52" s="16">
        <f t="shared" si="0"/>
        <v>180</v>
      </c>
      <c r="F52">
        <v>1420</v>
      </c>
      <c r="G52" t="s">
        <v>298</v>
      </c>
    </row>
    <row r="53" spans="3:7">
      <c r="C53">
        <v>1800</v>
      </c>
      <c r="D53">
        <v>94</v>
      </c>
      <c r="E53" s="16">
        <f t="shared" si="0"/>
        <v>229.78723404255319</v>
      </c>
      <c r="F53">
        <v>1435</v>
      </c>
      <c r="G53" t="s">
        <v>299</v>
      </c>
    </row>
    <row r="54" spans="3:7">
      <c r="C54">
        <v>1800</v>
      </c>
      <c r="D54">
        <v>240</v>
      </c>
      <c r="E54" s="16">
        <f t="shared" si="0"/>
        <v>90</v>
      </c>
      <c r="F54">
        <v>1730</v>
      </c>
      <c r="G54" t="s">
        <v>300</v>
      </c>
    </row>
    <row r="55" spans="3:7">
      <c r="C55">
        <v>650</v>
      </c>
      <c r="D55">
        <v>73</v>
      </c>
      <c r="E55" s="16">
        <f t="shared" si="0"/>
        <v>106.84931506849315</v>
      </c>
      <c r="F55">
        <v>9190</v>
      </c>
      <c r="G55" t="s">
        <v>301</v>
      </c>
    </row>
    <row r="56" spans="3:7"/>
    <row r="57" spans="3:7">
      <c r="C57" s="1" t="s">
        <v>302</v>
      </c>
      <c r="D57" s="1"/>
      <c r="E57" s="36">
        <f>AVERAGE(E36:E55)</f>
        <v>137.58754236760831</v>
      </c>
    </row>
    <row r="58" spans="3:7"/>
    <row r="59" spans="3:7"/>
    <row r="60" spans="3:7">
      <c r="C60" s="91" t="s">
        <v>303</v>
      </c>
    </row>
    <row r="61" spans="3:7" ht="16.5">
      <c r="C61" t="s">
        <v>304</v>
      </c>
    </row>
    <row r="62" spans="3:7"/>
    <row r="63" spans="3:7"/>
    <row r="64" spans="3:7"/>
    <row r="65"/>
    <row r="66"/>
    <row r="67"/>
    <row r="68"/>
    <row r="69"/>
    <row r="70"/>
    <row r="71"/>
    <row r="72"/>
    <row r="73"/>
    <row r="74"/>
    <row r="75"/>
    <row r="76"/>
    <row r="77"/>
    <row r="78"/>
    <row r="79"/>
    <row r="80"/>
    <row r="81" spans="18:18"/>
    <row r="82" spans="18:18">
      <c r="R82" t="s">
        <v>305</v>
      </c>
    </row>
    <row r="83" spans="18:18"/>
    <row r="84" spans="18:18"/>
    <row r="85" spans="18:18"/>
    <row r="86" spans="18:18"/>
    <row r="87" spans="18:18"/>
    <row r="88" spans="18:18"/>
    <row r="89" spans="18:18"/>
    <row r="90" spans="18:18"/>
    <row r="91" spans="18:18"/>
    <row r="92" spans="18:18"/>
    <row r="93" spans="18:18"/>
    <row r="94" spans="18:18"/>
    <row r="95" spans="18:18"/>
    <row r="96" spans="18:18"/>
    <row r="97"/>
    <row r="98"/>
    <row r="99"/>
    <row r="100"/>
    <row r="101"/>
    <row r="102"/>
    <row r="103"/>
    <row r="104"/>
    <row r="105"/>
    <row r="106"/>
    <row r="107"/>
  </sheetData>
  <pageMargins left="0.7" right="0.7" top="0.75" bottom="0.75" header="0.3" footer="0.3"/>
  <pageSetup paperSize="9" orientation="portrait" horizontalDpi="4294967293"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3B6828-FFCB-43B4-8B6E-B737A46811B2}">
  <sheetPr>
    <tabColor theme="4" tint="0.59999389629810485"/>
    <pageSetUpPr fitToPage="1"/>
  </sheetPr>
  <dimension ref="A1:T110"/>
  <sheetViews>
    <sheetView showGridLines="0" zoomScaleNormal="100" workbookViewId="0">
      <selection activeCell="E3" sqref="E3"/>
    </sheetView>
  </sheetViews>
  <sheetFormatPr defaultColWidth="0" defaultRowHeight="14.45" zeroHeight="1"/>
  <cols>
    <col min="1" max="1" width="4.5703125" customWidth="1"/>
    <col min="2" max="2" width="5" customWidth="1"/>
    <col min="3" max="3" width="54.85546875" customWidth="1"/>
    <col min="4" max="4" width="14.5703125" customWidth="1"/>
    <col min="5" max="5" width="10.85546875" customWidth="1"/>
    <col min="6" max="6" width="13.42578125" customWidth="1"/>
    <col min="7" max="7" width="16.5703125" bestFit="1" customWidth="1"/>
    <col min="8" max="8" width="10.7109375" bestFit="1" customWidth="1"/>
    <col min="9" max="9" width="17.5703125" bestFit="1" customWidth="1"/>
    <col min="10" max="10" width="8.85546875" customWidth="1"/>
    <col min="11" max="11" width="11.5703125" bestFit="1" customWidth="1"/>
    <col min="12" max="20" width="8.7109375" customWidth="1"/>
    <col min="21" max="16384" width="8.7109375" hidden="1"/>
  </cols>
  <sheetData>
    <row r="1" spans="2:14" ht="11.45" customHeight="1">
      <c r="E1" s="58"/>
      <c r="F1" s="22"/>
      <c r="G1" s="22"/>
      <c r="H1" s="22"/>
      <c r="I1" s="22"/>
      <c r="J1" s="58"/>
      <c r="N1" s="22"/>
    </row>
    <row r="2" spans="2:14">
      <c r="E2" s="84" t="s">
        <v>59</v>
      </c>
      <c r="F2" s="83"/>
      <c r="G2" s="22"/>
      <c r="H2" s="22"/>
      <c r="I2" s="22"/>
      <c r="J2" s="84" t="s">
        <v>306</v>
      </c>
      <c r="N2" s="22"/>
    </row>
    <row r="3" spans="2:14">
      <c r="E3" s="84" t="s">
        <v>2</v>
      </c>
      <c r="F3" s="83"/>
      <c r="G3" s="22"/>
      <c r="H3" s="22"/>
      <c r="I3" s="22"/>
      <c r="J3" s="58"/>
      <c r="N3" s="22"/>
    </row>
    <row r="4" spans="2:14" ht="10.5" customHeight="1">
      <c r="E4" s="58"/>
      <c r="F4" s="22"/>
      <c r="G4" s="22"/>
      <c r="H4" s="22"/>
      <c r="I4" s="22"/>
      <c r="J4" s="58"/>
      <c r="N4" s="22"/>
    </row>
    <row r="5" spans="2:14" s="57" customFormat="1" ht="6" customHeight="1"/>
    <row r="6" spans="2:14"/>
    <row r="7" spans="2:14" s="27" customFormat="1" ht="28.5">
      <c r="C7" s="26" t="s">
        <v>92</v>
      </c>
    </row>
    <row r="8" spans="2:14" ht="15" thickBot="1">
      <c r="C8" s="22"/>
      <c r="D8" s="22"/>
      <c r="E8" s="22"/>
      <c r="F8" s="22"/>
      <c r="G8" s="22"/>
      <c r="H8" s="22"/>
      <c r="I8" s="22"/>
    </row>
    <row r="9" spans="2:14">
      <c r="B9" s="103"/>
      <c r="C9" s="60"/>
      <c r="D9" s="60"/>
      <c r="E9" s="60"/>
      <c r="F9" s="60"/>
      <c r="G9" s="60"/>
      <c r="H9" s="60"/>
      <c r="I9" s="60"/>
      <c r="J9" s="61"/>
    </row>
    <row r="10" spans="2:14" ht="15" thickBot="1">
      <c r="B10" s="62"/>
      <c r="C10" s="86" t="s">
        <v>110</v>
      </c>
      <c r="D10" s="86" t="s">
        <v>307</v>
      </c>
      <c r="E10" s="86" t="s">
        <v>97</v>
      </c>
      <c r="F10" s="86"/>
      <c r="G10" s="86"/>
      <c r="H10" s="86"/>
      <c r="I10" s="86"/>
      <c r="J10" s="110"/>
    </row>
    <row r="11" spans="2:14" ht="15" thickTop="1">
      <c r="B11" s="62"/>
      <c r="C11" s="108" t="s">
        <v>308</v>
      </c>
      <c r="D11" s="98">
        <f>F68</f>
        <v>2660.0362</v>
      </c>
      <c r="E11" s="22" t="s">
        <v>309</v>
      </c>
      <c r="F11" s="22"/>
      <c r="G11" s="22"/>
      <c r="H11" s="22"/>
      <c r="I11" s="22"/>
      <c r="J11" s="63"/>
    </row>
    <row r="12" spans="2:14">
      <c r="B12" s="62"/>
      <c r="C12" s="108" t="s">
        <v>310</v>
      </c>
      <c r="D12" s="98">
        <f>G85</f>
        <v>3023.6765000000005</v>
      </c>
      <c r="E12" s="22" t="s">
        <v>311</v>
      </c>
      <c r="F12" s="22"/>
      <c r="G12" s="22"/>
      <c r="H12" s="22"/>
      <c r="I12" s="22"/>
      <c r="J12" s="63"/>
    </row>
    <row r="13" spans="2:14">
      <c r="B13" s="62"/>
      <c r="C13" s="108" t="s">
        <v>312</v>
      </c>
      <c r="D13" s="98">
        <f>F102</f>
        <v>816.8</v>
      </c>
      <c r="E13" s="56" t="s">
        <v>313</v>
      </c>
      <c r="F13" s="22"/>
      <c r="G13" s="22"/>
      <c r="H13" s="22"/>
      <c r="I13" s="22"/>
      <c r="J13" s="63"/>
    </row>
    <row r="14" spans="2:14" ht="15" thickBot="1">
      <c r="B14" s="62"/>
      <c r="C14" s="92"/>
      <c r="D14" s="92"/>
      <c r="E14" s="92"/>
      <c r="F14" s="92"/>
      <c r="G14" s="92"/>
      <c r="H14" s="92"/>
      <c r="I14" s="92"/>
      <c r="J14" s="63"/>
    </row>
    <row r="15" spans="2:14" ht="15" thickTop="1">
      <c r="B15" s="62"/>
      <c r="C15" s="94" t="s">
        <v>314</v>
      </c>
      <c r="D15" s="38">
        <f>SUM(D7:D13)</f>
        <v>6500.5127000000002</v>
      </c>
      <c r="E15" s="109">
        <f>SUM(E7:E13)</f>
        <v>0</v>
      </c>
      <c r="F15" s="22"/>
      <c r="G15" s="22"/>
      <c r="H15" s="22"/>
      <c r="I15" s="22"/>
      <c r="J15" s="63"/>
    </row>
    <row r="16" spans="2:14" ht="15" thickBot="1">
      <c r="B16" s="64"/>
      <c r="C16" s="65"/>
      <c r="D16" s="65"/>
      <c r="E16" s="65"/>
      <c r="F16" s="65"/>
      <c r="G16" s="65"/>
      <c r="H16" s="65"/>
      <c r="I16" s="65"/>
      <c r="J16" s="66"/>
    </row>
    <row r="17" spans="3:15">
      <c r="C17" s="22"/>
      <c r="D17" s="22"/>
      <c r="E17" s="22"/>
      <c r="F17" s="22"/>
      <c r="G17" s="22"/>
      <c r="H17" s="22"/>
      <c r="I17" s="22"/>
    </row>
    <row r="18" spans="3:15"/>
    <row r="19" spans="3:15">
      <c r="F19" s="2"/>
    </row>
    <row r="20" spans="3:15">
      <c r="C20" s="20" t="s">
        <v>315</v>
      </c>
      <c r="D20" s="17"/>
      <c r="E20" s="17"/>
      <c r="F20" s="17"/>
      <c r="G20" s="17"/>
      <c r="H20" s="17"/>
      <c r="I20" s="17"/>
      <c r="J20" s="17"/>
      <c r="K20" s="17"/>
      <c r="L20" s="17"/>
      <c r="M20" s="17"/>
      <c r="N20" s="17"/>
      <c r="O20" s="17"/>
    </row>
    <row r="21" spans="3:15">
      <c r="F21" s="7"/>
    </row>
    <row r="22" spans="3:15">
      <c r="C22" t="s">
        <v>316</v>
      </c>
      <c r="F22" s="7"/>
    </row>
    <row r="23" spans="3:15">
      <c r="C23" t="s">
        <v>317</v>
      </c>
      <c r="F23" s="7"/>
    </row>
    <row r="24" spans="3:15">
      <c r="F24" s="7"/>
    </row>
    <row r="25" spans="3:15" ht="29.45" thickBot="1">
      <c r="C25" s="112" t="s">
        <v>318</v>
      </c>
      <c r="D25" s="112" t="s">
        <v>319</v>
      </c>
      <c r="E25" s="112" t="s">
        <v>320</v>
      </c>
      <c r="F25" s="86" t="s">
        <v>307</v>
      </c>
    </row>
    <row r="26" spans="3:15" ht="15" thickTop="1">
      <c r="C26" t="s">
        <v>321</v>
      </c>
      <c r="D26" s="113">
        <v>384.97500000000002</v>
      </c>
      <c r="E26">
        <v>10</v>
      </c>
      <c r="F26" s="5">
        <f>D26/E26</f>
        <v>38.497500000000002</v>
      </c>
    </row>
    <row r="27" spans="3:15">
      <c r="C27" t="s">
        <v>322</v>
      </c>
      <c r="D27" s="113">
        <v>177.703</v>
      </c>
      <c r="E27">
        <v>10</v>
      </c>
      <c r="F27" s="5">
        <f t="shared" ref="F27:F66" si="0">D27/E27</f>
        <v>17.770299999999999</v>
      </c>
    </row>
    <row r="28" spans="3:15">
      <c r="C28" t="s">
        <v>323</v>
      </c>
      <c r="D28" s="113">
        <v>10.574999999999999</v>
      </c>
      <c r="E28">
        <v>10</v>
      </c>
      <c r="F28" s="5">
        <f t="shared" si="0"/>
        <v>1.0574999999999999</v>
      </c>
    </row>
    <row r="29" spans="3:15">
      <c r="C29" t="s">
        <v>324</v>
      </c>
      <c r="D29" s="113">
        <v>26.103000000000002</v>
      </c>
      <c r="E29">
        <v>5</v>
      </c>
      <c r="F29" s="5">
        <f t="shared" si="0"/>
        <v>5.2206000000000001</v>
      </c>
    </row>
    <row r="30" spans="3:15">
      <c r="C30" t="s">
        <v>325</v>
      </c>
      <c r="D30" s="113">
        <v>10.531000000000001</v>
      </c>
      <c r="E30">
        <v>5</v>
      </c>
      <c r="F30" s="5">
        <f t="shared" si="0"/>
        <v>2.1062000000000003</v>
      </c>
    </row>
    <row r="31" spans="3:15">
      <c r="C31" t="s">
        <v>326</v>
      </c>
      <c r="D31" s="113">
        <v>407.25</v>
      </c>
      <c r="E31">
        <v>10</v>
      </c>
      <c r="F31" s="5">
        <f t="shared" si="0"/>
        <v>40.725000000000001</v>
      </c>
    </row>
    <row r="32" spans="3:15">
      <c r="C32" t="s">
        <v>327</v>
      </c>
      <c r="D32" s="113">
        <v>133.19999999999999</v>
      </c>
      <c r="E32">
        <v>5</v>
      </c>
      <c r="F32" s="5">
        <f t="shared" si="0"/>
        <v>26.639999999999997</v>
      </c>
    </row>
    <row r="33" spans="3:6">
      <c r="C33" t="s">
        <v>328</v>
      </c>
      <c r="D33" s="113">
        <v>4148.5420000000004</v>
      </c>
      <c r="E33">
        <v>10</v>
      </c>
      <c r="F33" s="5">
        <f t="shared" si="0"/>
        <v>414.85420000000005</v>
      </c>
    </row>
    <row r="34" spans="3:6">
      <c r="C34" t="s">
        <v>329</v>
      </c>
      <c r="D34" s="113">
        <v>43.198999999999998</v>
      </c>
      <c r="E34">
        <v>5</v>
      </c>
      <c r="F34" s="5">
        <f t="shared" si="0"/>
        <v>8.6397999999999993</v>
      </c>
    </row>
    <row r="35" spans="3:6">
      <c r="C35" t="s">
        <v>330</v>
      </c>
      <c r="D35" s="113">
        <v>49.500999999999998</v>
      </c>
      <c r="E35">
        <v>5</v>
      </c>
      <c r="F35" s="5">
        <f t="shared" si="0"/>
        <v>9.9001999999999999</v>
      </c>
    </row>
    <row r="36" spans="3:6">
      <c r="C36" t="s">
        <v>331</v>
      </c>
      <c r="D36" s="113">
        <v>314.10000000000002</v>
      </c>
      <c r="E36">
        <v>10</v>
      </c>
      <c r="F36" s="5">
        <f t="shared" si="0"/>
        <v>31.410000000000004</v>
      </c>
    </row>
    <row r="37" spans="3:6">
      <c r="C37" t="s">
        <v>332</v>
      </c>
      <c r="D37" s="113">
        <v>1124.098</v>
      </c>
      <c r="E37">
        <v>10</v>
      </c>
      <c r="F37" s="5">
        <f t="shared" si="0"/>
        <v>112.40979999999999</v>
      </c>
    </row>
    <row r="38" spans="3:6">
      <c r="C38" t="s">
        <v>333</v>
      </c>
      <c r="D38" s="113">
        <v>2249.1010000000001</v>
      </c>
      <c r="E38">
        <v>10</v>
      </c>
      <c r="F38" s="5">
        <f t="shared" si="0"/>
        <v>224.9101</v>
      </c>
    </row>
    <row r="39" spans="3:6">
      <c r="C39" t="s">
        <v>334</v>
      </c>
      <c r="D39" s="113">
        <v>1655.999</v>
      </c>
      <c r="E39">
        <v>10</v>
      </c>
      <c r="F39" s="5">
        <f t="shared" si="0"/>
        <v>165.59989999999999</v>
      </c>
    </row>
    <row r="40" spans="3:6">
      <c r="C40" t="s">
        <v>335</v>
      </c>
      <c r="D40" s="113">
        <v>8999</v>
      </c>
      <c r="E40">
        <v>10</v>
      </c>
      <c r="F40" s="5">
        <f t="shared" si="0"/>
        <v>899.9</v>
      </c>
    </row>
    <row r="41" spans="3:6">
      <c r="C41" t="s">
        <v>336</v>
      </c>
      <c r="D41" s="113">
        <v>3182.3980000000001</v>
      </c>
      <c r="E41">
        <v>10</v>
      </c>
      <c r="F41" s="5">
        <f t="shared" si="0"/>
        <v>318.2398</v>
      </c>
    </row>
    <row r="42" spans="3:6">
      <c r="C42" t="s">
        <v>337</v>
      </c>
      <c r="D42" s="113">
        <v>719.09900000000005</v>
      </c>
      <c r="E42">
        <v>10</v>
      </c>
      <c r="F42" s="5">
        <f t="shared" si="0"/>
        <v>71.909900000000007</v>
      </c>
    </row>
    <row r="43" spans="3:6">
      <c r="C43" t="s">
        <v>338</v>
      </c>
      <c r="D43" s="113">
        <v>161.55000000000001</v>
      </c>
      <c r="E43">
        <v>5</v>
      </c>
      <c r="F43" s="5">
        <f t="shared" si="0"/>
        <v>32.31</v>
      </c>
    </row>
    <row r="44" spans="3:6">
      <c r="C44" t="s">
        <v>339</v>
      </c>
      <c r="D44" s="113">
        <v>68.400000000000006</v>
      </c>
      <c r="E44">
        <v>5</v>
      </c>
      <c r="F44" s="5">
        <f t="shared" si="0"/>
        <v>13.680000000000001</v>
      </c>
    </row>
    <row r="45" spans="3:6">
      <c r="C45" t="s">
        <v>340</v>
      </c>
      <c r="D45" s="113">
        <v>81</v>
      </c>
      <c r="E45">
        <v>5</v>
      </c>
      <c r="F45" s="5">
        <f t="shared" si="0"/>
        <v>16.2</v>
      </c>
    </row>
    <row r="46" spans="3:6">
      <c r="C46" t="s">
        <v>341</v>
      </c>
      <c r="D46" s="113">
        <v>162</v>
      </c>
      <c r="E46">
        <v>5</v>
      </c>
      <c r="F46" s="5">
        <f t="shared" si="0"/>
        <v>32.4</v>
      </c>
    </row>
    <row r="47" spans="3:6">
      <c r="C47" t="s">
        <v>342</v>
      </c>
      <c r="D47" s="113">
        <v>89.954999999999998</v>
      </c>
      <c r="E47">
        <v>5</v>
      </c>
      <c r="F47" s="5">
        <f t="shared" si="0"/>
        <v>17.991</v>
      </c>
    </row>
    <row r="48" spans="3:6">
      <c r="C48" t="s">
        <v>343</v>
      </c>
      <c r="D48" s="113">
        <v>7.11</v>
      </c>
      <c r="E48">
        <v>5</v>
      </c>
      <c r="F48" s="5">
        <f t="shared" si="0"/>
        <v>1.4220000000000002</v>
      </c>
    </row>
    <row r="49" spans="3:6">
      <c r="C49" t="s">
        <v>344</v>
      </c>
      <c r="D49" s="113">
        <v>7.11</v>
      </c>
      <c r="E49">
        <v>5</v>
      </c>
      <c r="F49" s="5">
        <f t="shared" si="0"/>
        <v>1.4220000000000002</v>
      </c>
    </row>
    <row r="50" spans="3:6">
      <c r="C50" t="s">
        <v>345</v>
      </c>
      <c r="D50" s="113">
        <v>7.11</v>
      </c>
      <c r="E50">
        <v>5</v>
      </c>
      <c r="F50" s="5">
        <f t="shared" si="0"/>
        <v>1.4220000000000002</v>
      </c>
    </row>
    <row r="51" spans="3:6">
      <c r="C51" t="s">
        <v>346</v>
      </c>
      <c r="D51" s="113">
        <v>27</v>
      </c>
      <c r="E51">
        <v>5</v>
      </c>
      <c r="F51" s="5">
        <f t="shared" si="0"/>
        <v>5.4</v>
      </c>
    </row>
    <row r="52" spans="3:6">
      <c r="C52" t="s">
        <v>347</v>
      </c>
      <c r="D52" s="113">
        <v>6.3</v>
      </c>
      <c r="E52">
        <v>5</v>
      </c>
      <c r="F52" s="5">
        <f t="shared" si="0"/>
        <v>1.26</v>
      </c>
    </row>
    <row r="53" spans="3:6">
      <c r="C53" t="s">
        <v>348</v>
      </c>
      <c r="D53" s="113">
        <v>12.24</v>
      </c>
      <c r="E53">
        <v>5</v>
      </c>
      <c r="F53" s="5">
        <f t="shared" si="0"/>
        <v>2.448</v>
      </c>
    </row>
    <row r="54" spans="3:6">
      <c r="C54" t="s">
        <v>349</v>
      </c>
      <c r="D54" s="113">
        <v>25.199000000000002</v>
      </c>
      <c r="E54">
        <v>5</v>
      </c>
      <c r="F54" s="5">
        <f t="shared" si="0"/>
        <v>5.0398000000000005</v>
      </c>
    </row>
    <row r="55" spans="3:6">
      <c r="C55" t="s">
        <v>350</v>
      </c>
      <c r="D55" s="113">
        <v>38.698999999999998</v>
      </c>
      <c r="E55">
        <v>5</v>
      </c>
      <c r="F55" s="5">
        <f t="shared" si="0"/>
        <v>7.7397999999999998</v>
      </c>
    </row>
    <row r="56" spans="3:6">
      <c r="C56" t="s">
        <v>351</v>
      </c>
      <c r="D56" s="113">
        <v>34.201000000000001</v>
      </c>
      <c r="E56">
        <v>5</v>
      </c>
      <c r="F56" s="5">
        <f t="shared" si="0"/>
        <v>6.8402000000000003</v>
      </c>
    </row>
    <row r="57" spans="3:6">
      <c r="C57" t="s">
        <v>352</v>
      </c>
      <c r="D57" s="113">
        <v>37.799999999999997</v>
      </c>
      <c r="E57">
        <v>5</v>
      </c>
      <c r="F57" s="5">
        <f t="shared" si="0"/>
        <v>7.56</v>
      </c>
    </row>
    <row r="58" spans="3:6">
      <c r="C58" t="s">
        <v>353</v>
      </c>
      <c r="D58" s="113">
        <v>46.8</v>
      </c>
      <c r="E58">
        <v>5</v>
      </c>
      <c r="F58" s="5">
        <f t="shared" si="0"/>
        <v>9.36</v>
      </c>
    </row>
    <row r="59" spans="3:6">
      <c r="C59" t="s">
        <v>354</v>
      </c>
      <c r="D59" s="113">
        <v>8.9550000000000001</v>
      </c>
      <c r="E59">
        <v>5</v>
      </c>
      <c r="F59" s="5">
        <f t="shared" si="0"/>
        <v>1.7909999999999999</v>
      </c>
    </row>
    <row r="60" spans="3:6">
      <c r="C60" t="s">
        <v>355</v>
      </c>
      <c r="D60" s="113">
        <v>31.454999999999998</v>
      </c>
      <c r="E60">
        <v>5</v>
      </c>
      <c r="F60" s="5">
        <f t="shared" si="0"/>
        <v>6.2909999999999995</v>
      </c>
    </row>
    <row r="61" spans="3:6">
      <c r="C61" t="s">
        <v>356</v>
      </c>
      <c r="D61" s="113">
        <v>58.454999999999998</v>
      </c>
      <c r="E61">
        <v>1</v>
      </c>
      <c r="F61" s="5">
        <f t="shared" si="0"/>
        <v>58.454999999999998</v>
      </c>
    </row>
    <row r="62" spans="3:6">
      <c r="C62" t="s">
        <v>357</v>
      </c>
      <c r="D62" s="113">
        <v>23.4</v>
      </c>
      <c r="E62">
        <v>5</v>
      </c>
      <c r="F62" s="5">
        <f t="shared" si="0"/>
        <v>4.68</v>
      </c>
    </row>
    <row r="63" spans="3:6">
      <c r="C63" t="s">
        <v>358</v>
      </c>
      <c r="D63" s="113">
        <v>8.4600000000000009</v>
      </c>
      <c r="E63">
        <v>5</v>
      </c>
      <c r="F63" s="5">
        <f t="shared" si="0"/>
        <v>1.6920000000000002</v>
      </c>
    </row>
    <row r="64" spans="3:6">
      <c r="C64" t="s">
        <v>359</v>
      </c>
      <c r="D64" s="113">
        <v>38.909999999999997</v>
      </c>
      <c r="E64">
        <v>5</v>
      </c>
      <c r="F64" s="5">
        <f t="shared" si="0"/>
        <v>7.7819999999999991</v>
      </c>
    </row>
    <row r="65" spans="3:17">
      <c r="C65" t="s">
        <v>360</v>
      </c>
      <c r="D65" s="113">
        <v>6.3</v>
      </c>
      <c r="E65">
        <v>5</v>
      </c>
      <c r="F65" s="5">
        <f t="shared" si="0"/>
        <v>1.26</v>
      </c>
    </row>
    <row r="66" spans="3:17">
      <c r="C66" t="s">
        <v>361</v>
      </c>
      <c r="D66" s="113">
        <v>128.99799999999999</v>
      </c>
      <c r="E66">
        <v>5</v>
      </c>
      <c r="F66" s="5">
        <f t="shared" si="0"/>
        <v>25.799599999999998</v>
      </c>
    </row>
    <row r="67" spans="3:17" ht="15" thickBot="1">
      <c r="C67" s="92"/>
      <c r="D67" s="92"/>
      <c r="E67" s="92"/>
      <c r="F67" s="115"/>
    </row>
    <row r="68" spans="3:17" ht="15" thickTop="1">
      <c r="C68" t="s">
        <v>69</v>
      </c>
      <c r="D68" s="97">
        <f>SUM(D26:D66)</f>
        <v>24752.78100000001</v>
      </c>
      <c r="E68" s="15">
        <f>D68/F68</f>
        <v>9.3054301291087729</v>
      </c>
      <c r="F68" s="114">
        <f>SUM(F26:F66)</f>
        <v>2660.0362</v>
      </c>
    </row>
    <row r="69" spans="3:17">
      <c r="F69" s="7"/>
    </row>
    <row r="70" spans="3:17">
      <c r="F70" s="7"/>
    </row>
    <row r="71" spans="3:17">
      <c r="C71" s="20" t="s">
        <v>362</v>
      </c>
      <c r="D71" s="17"/>
      <c r="E71" s="17"/>
      <c r="F71" s="17"/>
      <c r="G71" s="17"/>
      <c r="H71" s="17"/>
      <c r="I71" s="17"/>
      <c r="J71" s="17"/>
      <c r="K71" s="17"/>
      <c r="L71" s="17"/>
      <c r="M71" s="17"/>
      <c r="N71" s="17"/>
      <c r="O71" s="17"/>
      <c r="P71" s="17"/>
      <c r="Q71" s="17"/>
    </row>
    <row r="72" spans="3:17"/>
    <row r="73" spans="3:17">
      <c r="C73" t="s">
        <v>363</v>
      </c>
    </row>
    <row r="74" spans="3:17">
      <c r="C74" t="s">
        <v>364</v>
      </c>
    </row>
    <row r="75" spans="3:17">
      <c r="C75" t="s">
        <v>365</v>
      </c>
      <c r="D75" s="9">
        <v>0.06</v>
      </c>
      <c r="E75" t="s">
        <v>366</v>
      </c>
    </row>
    <row r="76" spans="3:17"/>
    <row r="77" spans="3:17" ht="31.5" thickBot="1">
      <c r="C77" s="86" t="s">
        <v>165</v>
      </c>
      <c r="D77" s="112" t="s">
        <v>367</v>
      </c>
      <c r="E77" s="112" t="s">
        <v>368</v>
      </c>
      <c r="F77" s="86" t="s">
        <v>320</v>
      </c>
      <c r="G77" s="86" t="s">
        <v>307</v>
      </c>
      <c r="H77" s="86" t="s">
        <v>369</v>
      </c>
      <c r="I77" s="86"/>
      <c r="J77" s="86"/>
      <c r="K77" s="86"/>
      <c r="L77" s="86"/>
      <c r="M77" s="86"/>
      <c r="N77" s="86"/>
      <c r="O77" s="86"/>
      <c r="P77" s="86"/>
      <c r="Q77" s="86"/>
    </row>
    <row r="78" spans="3:17" ht="15" thickTop="1">
      <c r="C78" t="s">
        <v>370</v>
      </c>
      <c r="D78" s="5">
        <v>132.04</v>
      </c>
      <c r="E78" s="5">
        <f>D78*'Benodigde ruimte'!$D$26*(1+$D$75)</f>
        <v>9097.5560000000005</v>
      </c>
      <c r="F78">
        <v>20</v>
      </c>
      <c r="G78" s="30">
        <f t="shared" ref="G78:G83" si="1">E78/F78</f>
        <v>454.87780000000004</v>
      </c>
    </row>
    <row r="79" spans="3:17">
      <c r="C79" t="s">
        <v>371</v>
      </c>
      <c r="D79" s="5">
        <v>161.56</v>
      </c>
      <c r="E79" s="5">
        <f>D79*'Benodigde ruimte'!$D$26*(1+$D$75)</f>
        <v>11131.484</v>
      </c>
      <c r="F79">
        <v>30</v>
      </c>
      <c r="G79" s="30">
        <v>0</v>
      </c>
      <c r="H79" t="s">
        <v>372</v>
      </c>
    </row>
    <row r="80" spans="3:17">
      <c r="C80" t="s">
        <v>373</v>
      </c>
      <c r="D80" s="5">
        <v>114.06</v>
      </c>
      <c r="E80" s="5">
        <f>D80*'Benodigde ruimte'!$D$26*(1+$D$75)</f>
        <v>7858.7340000000013</v>
      </c>
      <c r="F80">
        <v>20</v>
      </c>
      <c r="G80" s="30">
        <v>0</v>
      </c>
      <c r="H80" t="s">
        <v>372</v>
      </c>
    </row>
    <row r="81" spans="3:17">
      <c r="C81" t="s">
        <v>374</v>
      </c>
      <c r="D81" s="5">
        <v>267.54000000000002</v>
      </c>
      <c r="E81" s="5">
        <f>D81*'Benodigde ruimte'!$D$26*(1+$D$75)</f>
        <v>18433.506000000005</v>
      </c>
      <c r="F81">
        <v>20</v>
      </c>
      <c r="G81" s="30">
        <f t="shared" si="1"/>
        <v>921.67530000000022</v>
      </c>
      <c r="H81" t="s">
        <v>375</v>
      </c>
    </row>
    <row r="82" spans="3:17">
      <c r="C82" t="s">
        <v>376</v>
      </c>
      <c r="D82" s="5">
        <v>466.72</v>
      </c>
      <c r="E82" s="5">
        <f>D82*'Benodigde ruimte'!$D$26*(1+$D$75)</f>
        <v>32157.008000000005</v>
      </c>
      <c r="F82">
        <v>30</v>
      </c>
      <c r="G82" s="30">
        <v>0</v>
      </c>
      <c r="H82" s="6" t="s">
        <v>377</v>
      </c>
    </row>
    <row r="83" spans="3:17">
      <c r="C83" t="s">
        <v>378</v>
      </c>
      <c r="D83" s="5">
        <v>119.53</v>
      </c>
      <c r="E83" s="5">
        <f>D83*'Benodigde ruimte'!$D$26*(1+$D$75)</f>
        <v>8235.6170000000002</v>
      </c>
      <c r="F83">
        <v>5</v>
      </c>
      <c r="G83" s="30">
        <f t="shared" si="1"/>
        <v>1647.1233999999999</v>
      </c>
    </row>
    <row r="84" spans="3:17" ht="15" thickBot="1">
      <c r="C84" s="92"/>
      <c r="D84" s="92"/>
      <c r="E84" s="92"/>
      <c r="F84" s="92"/>
      <c r="G84" s="92"/>
      <c r="H84" s="92"/>
      <c r="I84" s="92"/>
      <c r="J84" s="92"/>
      <c r="K84" s="92"/>
      <c r="L84" s="92"/>
      <c r="M84" s="92"/>
      <c r="N84" s="85"/>
      <c r="O84" s="85"/>
      <c r="P84" s="85"/>
      <c r="Q84" s="85"/>
    </row>
    <row r="85" spans="3:17" ht="15" thickTop="1">
      <c r="C85" s="56" t="s">
        <v>69</v>
      </c>
      <c r="D85" s="5">
        <f>D78+D81+D83</f>
        <v>519.11</v>
      </c>
      <c r="E85" s="5">
        <f>E78+E81+E83</f>
        <v>35766.679000000004</v>
      </c>
      <c r="F85" s="15">
        <f>(E78+E81+E83)/G85</f>
        <v>11.828870912612508</v>
      </c>
      <c r="G85" s="93">
        <f>SUM(G78:G83)</f>
        <v>3023.6765000000005</v>
      </c>
    </row>
    <row r="86" spans="3:17">
      <c r="F86" s="7"/>
    </row>
    <row r="87" spans="3:17">
      <c r="F87" s="7"/>
      <c r="G87" s="30"/>
    </row>
    <row r="88" spans="3:17">
      <c r="F88" s="7"/>
      <c r="G88" s="30"/>
    </row>
    <row r="89" spans="3:17">
      <c r="C89" s="20" t="s">
        <v>362</v>
      </c>
      <c r="D89" s="17"/>
      <c r="E89" s="17"/>
      <c r="F89" s="17"/>
      <c r="G89" s="17"/>
      <c r="H89" s="17"/>
      <c r="I89" s="17"/>
      <c r="J89" s="17"/>
      <c r="K89" s="17"/>
    </row>
    <row r="90" spans="3:17">
      <c r="F90" s="7"/>
    </row>
    <row r="91" spans="3:17" ht="15" thickBot="1">
      <c r="C91" s="112" t="s">
        <v>110</v>
      </c>
      <c r="D91" s="112" t="s">
        <v>379</v>
      </c>
      <c r="E91" s="112" t="s">
        <v>320</v>
      </c>
      <c r="F91" s="86" t="s">
        <v>307</v>
      </c>
      <c r="G91" s="86" t="s">
        <v>97</v>
      </c>
      <c r="H91" s="86"/>
      <c r="I91" s="86"/>
      <c r="J91" s="86"/>
      <c r="K91" s="86"/>
    </row>
    <row r="92" spans="3:17" ht="15" thickTop="1">
      <c r="C92" s="121" t="s">
        <v>380</v>
      </c>
      <c r="D92" s="121">
        <v>539</v>
      </c>
      <c r="E92" s="121">
        <v>5</v>
      </c>
      <c r="F92" s="120">
        <f t="shared" ref="F92:F100" si="2">D92/E92</f>
        <v>107.8</v>
      </c>
      <c r="G92" s="122" t="s">
        <v>381</v>
      </c>
      <c r="H92" s="94"/>
      <c r="I92" s="94"/>
      <c r="J92" s="94"/>
      <c r="K92" s="94"/>
    </row>
    <row r="93" spans="3:17">
      <c r="C93" s="121" t="s">
        <v>382</v>
      </c>
      <c r="D93" s="121">
        <v>180</v>
      </c>
      <c r="E93" s="121">
        <v>5</v>
      </c>
      <c r="F93" s="120">
        <f t="shared" si="2"/>
        <v>36</v>
      </c>
      <c r="G93" s="122" t="s">
        <v>381</v>
      </c>
      <c r="H93" s="94"/>
      <c r="I93" s="94"/>
      <c r="J93" s="94"/>
      <c r="K93" s="94"/>
    </row>
    <row r="94" spans="3:17">
      <c r="C94" s="121" t="s">
        <v>383</v>
      </c>
      <c r="D94" s="121">
        <v>540</v>
      </c>
      <c r="E94" s="121">
        <v>5</v>
      </c>
      <c r="F94" s="120">
        <f t="shared" si="2"/>
        <v>108</v>
      </c>
      <c r="G94" s="122" t="s">
        <v>381</v>
      </c>
      <c r="H94" s="94"/>
      <c r="I94" s="94"/>
      <c r="J94" s="94"/>
      <c r="K94" s="94"/>
    </row>
    <row r="95" spans="3:17">
      <c r="C95" s="121" t="s">
        <v>384</v>
      </c>
      <c r="D95" s="121">
        <v>135</v>
      </c>
      <c r="E95" s="121">
        <v>5</v>
      </c>
      <c r="F95" s="120">
        <f t="shared" si="2"/>
        <v>27</v>
      </c>
      <c r="G95" s="122" t="s">
        <v>381</v>
      </c>
      <c r="H95" s="94"/>
      <c r="I95" s="94"/>
      <c r="J95" s="94"/>
      <c r="K95" s="94"/>
    </row>
    <row r="96" spans="3:17">
      <c r="C96" s="121" t="s">
        <v>385</v>
      </c>
      <c r="D96" s="121">
        <v>599</v>
      </c>
      <c r="E96" s="121">
        <v>3</v>
      </c>
      <c r="F96" s="120">
        <f t="shared" si="2"/>
        <v>199.66666666666666</v>
      </c>
      <c r="G96" s="122" t="s">
        <v>386</v>
      </c>
      <c r="H96" s="94"/>
      <c r="I96" s="94"/>
      <c r="J96" s="94"/>
      <c r="K96" s="116"/>
    </row>
    <row r="97" spans="3:11">
      <c r="C97" s="6" t="s">
        <v>387</v>
      </c>
      <c r="D97" s="6">
        <v>200</v>
      </c>
      <c r="E97" s="6">
        <v>3</v>
      </c>
      <c r="F97" s="120">
        <f t="shared" si="2"/>
        <v>66.666666666666671</v>
      </c>
      <c r="G97" t="s">
        <v>388</v>
      </c>
    </row>
    <row r="98" spans="3:11">
      <c r="C98" s="6" t="s">
        <v>389</v>
      </c>
      <c r="D98" s="6">
        <f>10.5*12</f>
        <v>126</v>
      </c>
      <c r="E98" s="6">
        <f>1</f>
        <v>1</v>
      </c>
      <c r="F98" s="120">
        <f t="shared" si="2"/>
        <v>126</v>
      </c>
      <c r="G98" t="s">
        <v>390</v>
      </c>
    </row>
    <row r="99" spans="3:11">
      <c r="C99" s="6" t="s">
        <v>391</v>
      </c>
      <c r="D99" s="6">
        <v>80</v>
      </c>
      <c r="E99" s="6">
        <v>5</v>
      </c>
      <c r="F99" s="120">
        <f t="shared" si="2"/>
        <v>16</v>
      </c>
      <c r="G99" t="s">
        <v>392</v>
      </c>
    </row>
    <row r="100" spans="3:11">
      <c r="C100" s="6" t="s">
        <v>393</v>
      </c>
      <c r="D100" s="6">
        <v>389</v>
      </c>
      <c r="E100" s="6">
        <v>3</v>
      </c>
      <c r="F100" s="120">
        <f t="shared" si="2"/>
        <v>129.66666666666666</v>
      </c>
      <c r="G100" t="s">
        <v>394</v>
      </c>
    </row>
    <row r="101" spans="3:11" ht="15" thickBot="1">
      <c r="C101" s="92"/>
      <c r="D101" s="92"/>
      <c r="E101" s="92"/>
      <c r="F101" s="92"/>
      <c r="G101" s="92"/>
      <c r="H101" s="92"/>
      <c r="I101" s="92"/>
      <c r="J101" s="92"/>
      <c r="K101" s="92"/>
    </row>
    <row r="102" spans="3:11" ht="15" thickTop="1">
      <c r="C102" s="56" t="s">
        <v>69</v>
      </c>
      <c r="D102" s="5">
        <f>SUM(D92:D100)</f>
        <v>2788</v>
      </c>
      <c r="E102" s="5">
        <f>D102/F102</f>
        <v>3.4133202742409403</v>
      </c>
      <c r="F102" s="93">
        <f>SUM(F92:F100)</f>
        <v>816.8</v>
      </c>
      <c r="G102" s="117"/>
    </row>
    <row r="103" spans="3:11"/>
    <row r="104" spans="3:11"/>
    <row r="105" spans="3:11"/>
    <row r="106" spans="3:11"/>
    <row r="107" spans="3:11"/>
    <row r="108" spans="3:11"/>
    <row r="109" spans="3:11"/>
    <row r="110" spans="3:11"/>
  </sheetData>
  <pageMargins left="0.7" right="0.7" top="0.75" bottom="0.75" header="0.3" footer="0.3"/>
  <pageSetup paperSize="9" scale="18"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8DFFE-8FD6-40E4-AD2E-C07E3022AD2A}">
  <sheetPr>
    <tabColor theme="4" tint="0.59999389629810485"/>
    <pageSetUpPr fitToPage="1"/>
  </sheetPr>
  <dimension ref="A1:N31"/>
  <sheetViews>
    <sheetView showGridLines="0" workbookViewId="0">
      <selection activeCell="D3" sqref="D3"/>
    </sheetView>
  </sheetViews>
  <sheetFormatPr defaultColWidth="0" defaultRowHeight="14.45" zeroHeight="1"/>
  <cols>
    <col min="1" max="1" width="3.28515625" customWidth="1"/>
    <col min="2" max="2" width="5" customWidth="1"/>
    <col min="3" max="3" width="73.5703125" customWidth="1"/>
    <col min="4" max="4" width="18.85546875" bestFit="1" customWidth="1"/>
    <col min="5" max="5" width="14.85546875" bestFit="1" customWidth="1"/>
    <col min="6" max="6" width="21.85546875" bestFit="1" customWidth="1"/>
    <col min="7" max="7" width="6.5703125" customWidth="1"/>
    <col min="8" max="8" width="10.7109375" bestFit="1" customWidth="1"/>
    <col min="9" max="9" width="17.5703125" bestFit="1" customWidth="1"/>
    <col min="10" max="10" width="17.42578125" bestFit="1" customWidth="1"/>
    <col min="11" max="11" width="11.5703125" bestFit="1" customWidth="1"/>
    <col min="12" max="12" width="8.7109375" customWidth="1"/>
    <col min="13" max="14" width="0" hidden="1" customWidth="1"/>
    <col min="15" max="16384" width="8.7109375" hidden="1"/>
  </cols>
  <sheetData>
    <row r="1" spans="2:14" ht="11.45" customHeight="1">
      <c r="D1" s="58"/>
      <c r="E1" s="22"/>
      <c r="F1" s="22"/>
      <c r="G1" s="22"/>
      <c r="H1" s="22"/>
      <c r="I1" s="58"/>
      <c r="N1" s="22"/>
    </row>
    <row r="2" spans="2:14">
      <c r="D2" s="84" t="s">
        <v>59</v>
      </c>
      <c r="E2" s="83"/>
      <c r="F2" s="22"/>
      <c r="G2" s="22"/>
      <c r="H2" s="22"/>
      <c r="I2" s="84" t="s">
        <v>26</v>
      </c>
      <c r="N2" s="22"/>
    </row>
    <row r="3" spans="2:14">
      <c r="D3" s="84" t="s">
        <v>2</v>
      </c>
      <c r="E3" s="83"/>
      <c r="F3" s="22"/>
      <c r="G3" s="22"/>
      <c r="H3" s="22"/>
      <c r="I3" s="58"/>
      <c r="N3" s="22"/>
    </row>
    <row r="4" spans="2:14" ht="10.5" customHeight="1">
      <c r="D4" s="58"/>
      <c r="E4" s="22"/>
      <c r="F4" s="22"/>
      <c r="G4" s="22"/>
      <c r="H4" s="22"/>
      <c r="I4" s="58"/>
      <c r="N4" s="22"/>
    </row>
    <row r="5" spans="2:14" s="57" customFormat="1" ht="6" customHeight="1"/>
    <row r="6" spans="2:14"/>
    <row r="7" spans="2:14" s="27" customFormat="1" ht="28.5">
      <c r="C7" s="26" t="s">
        <v>92</v>
      </c>
    </row>
    <row r="8" spans="2:14"/>
    <row r="9" spans="2:14" ht="15" thickBot="1"/>
    <row r="10" spans="2:14">
      <c r="B10" s="103"/>
      <c r="C10" s="60"/>
      <c r="D10" s="60"/>
      <c r="E10" s="60"/>
      <c r="F10" s="60"/>
      <c r="G10" s="61"/>
    </row>
    <row r="11" spans="2:14" ht="29.45" thickBot="1">
      <c r="B11" s="62"/>
      <c r="C11" s="112" t="s">
        <v>318</v>
      </c>
      <c r="D11" s="112" t="s">
        <v>319</v>
      </c>
      <c r="E11" s="112" t="s">
        <v>395</v>
      </c>
      <c r="F11" s="86" t="s">
        <v>307</v>
      </c>
      <c r="G11" s="63"/>
    </row>
    <row r="12" spans="2:14" ht="15" thickTop="1">
      <c r="B12" s="62"/>
      <c r="C12" s="22" t="s">
        <v>396</v>
      </c>
      <c r="D12" s="118">
        <v>12.06</v>
      </c>
      <c r="E12" s="22">
        <v>4</v>
      </c>
      <c r="F12" s="109">
        <f>D12*E12</f>
        <v>48.24</v>
      </c>
      <c r="G12" s="63"/>
    </row>
    <row r="13" spans="2:14">
      <c r="B13" s="62"/>
      <c r="C13" s="22" t="s">
        <v>397</v>
      </c>
      <c r="D13" s="118">
        <v>13.05</v>
      </c>
      <c r="E13" s="22">
        <v>4</v>
      </c>
      <c r="F13" s="109">
        <f>E13*D13</f>
        <v>52.2</v>
      </c>
      <c r="G13" s="63"/>
    </row>
    <row r="14" spans="2:14">
      <c r="B14" s="62"/>
      <c r="C14" s="22" t="s">
        <v>398</v>
      </c>
      <c r="D14" s="118">
        <v>10.26</v>
      </c>
      <c r="E14" s="22">
        <v>4</v>
      </c>
      <c r="F14" s="109">
        <f t="shared" ref="F14:F24" si="0">E14*D14</f>
        <v>41.04</v>
      </c>
      <c r="G14" s="63"/>
    </row>
    <row r="15" spans="2:14">
      <c r="B15" s="62"/>
      <c r="C15" s="22" t="s">
        <v>399</v>
      </c>
      <c r="D15" s="118">
        <v>9.8550000000000004</v>
      </c>
      <c r="E15" s="22">
        <v>12</v>
      </c>
      <c r="F15" s="109">
        <f t="shared" si="0"/>
        <v>118.26</v>
      </c>
      <c r="G15" s="63"/>
    </row>
    <row r="16" spans="2:14">
      <c r="B16" s="62"/>
      <c r="C16" s="22" t="s">
        <v>400</v>
      </c>
      <c r="D16" s="118">
        <v>14.462</v>
      </c>
      <c r="E16" s="22">
        <v>12</v>
      </c>
      <c r="F16" s="109">
        <f t="shared" si="0"/>
        <v>173.54399999999998</v>
      </c>
      <c r="G16" s="63"/>
    </row>
    <row r="17" spans="2:7">
      <c r="B17" s="62"/>
      <c r="C17" s="22" t="s">
        <v>401</v>
      </c>
      <c r="D17" s="118">
        <v>10.227</v>
      </c>
      <c r="E17" s="22">
        <v>12</v>
      </c>
      <c r="F17" s="109">
        <f t="shared" si="0"/>
        <v>122.724</v>
      </c>
      <c r="G17" s="63"/>
    </row>
    <row r="18" spans="2:7">
      <c r="B18" s="62"/>
      <c r="C18" s="22" t="s">
        <v>402</v>
      </c>
      <c r="D18" s="118">
        <v>20.988</v>
      </c>
      <c r="E18" s="22">
        <v>6</v>
      </c>
      <c r="F18" s="109">
        <f t="shared" si="0"/>
        <v>125.928</v>
      </c>
      <c r="G18" s="63"/>
    </row>
    <row r="19" spans="2:7">
      <c r="B19" s="62"/>
      <c r="C19" s="22" t="s">
        <v>403</v>
      </c>
      <c r="D19" s="118">
        <v>64.528999999999996</v>
      </c>
      <c r="E19" s="22">
        <v>2</v>
      </c>
      <c r="F19" s="109">
        <f t="shared" si="0"/>
        <v>129.05799999999999</v>
      </c>
      <c r="G19" s="63"/>
    </row>
    <row r="20" spans="2:7">
      <c r="B20" s="62"/>
      <c r="C20" s="22" t="s">
        <v>404</v>
      </c>
      <c r="D20" s="118">
        <v>54.45</v>
      </c>
      <c r="E20" s="22">
        <v>4</v>
      </c>
      <c r="F20" s="109">
        <f t="shared" si="0"/>
        <v>217.8</v>
      </c>
      <c r="G20" s="63"/>
    </row>
    <row r="21" spans="2:7">
      <c r="B21" s="62"/>
      <c r="C21" s="22" t="s">
        <v>405</v>
      </c>
      <c r="D21" s="118">
        <v>26.1</v>
      </c>
      <c r="E21" s="22">
        <v>1</v>
      </c>
      <c r="F21" s="109">
        <f t="shared" si="0"/>
        <v>26.1</v>
      </c>
      <c r="G21" s="63"/>
    </row>
    <row r="22" spans="2:7">
      <c r="B22" s="62"/>
      <c r="C22" s="22" t="s">
        <v>406</v>
      </c>
      <c r="D22" s="118">
        <v>2.79</v>
      </c>
      <c r="E22" s="22">
        <v>5</v>
      </c>
      <c r="F22" s="109">
        <f t="shared" si="0"/>
        <v>13.95</v>
      </c>
      <c r="G22" s="63"/>
    </row>
    <row r="23" spans="2:7">
      <c r="B23" s="62"/>
      <c r="C23" s="22" t="s">
        <v>407</v>
      </c>
      <c r="D23" s="118">
        <v>30.6</v>
      </c>
      <c r="E23" s="22">
        <v>2</v>
      </c>
      <c r="F23" s="109">
        <f t="shared" si="0"/>
        <v>61.2</v>
      </c>
      <c r="G23" s="63"/>
    </row>
    <row r="24" spans="2:7">
      <c r="B24" s="62"/>
      <c r="C24" s="22" t="s">
        <v>408</v>
      </c>
      <c r="D24" s="118">
        <v>9.3610000000000007</v>
      </c>
      <c r="E24" s="22">
        <v>1</v>
      </c>
      <c r="F24" s="109">
        <f t="shared" si="0"/>
        <v>9.3610000000000007</v>
      </c>
      <c r="G24" s="63"/>
    </row>
    <row r="25" spans="2:7" ht="15" thickBot="1">
      <c r="B25" s="62"/>
      <c r="C25" s="92"/>
      <c r="D25" s="92"/>
      <c r="E25" s="92"/>
      <c r="F25" s="92"/>
      <c r="G25" s="63"/>
    </row>
    <row r="26" spans="2:7" ht="15" thickTop="1">
      <c r="B26" s="62"/>
      <c r="C26" s="94" t="s">
        <v>409</v>
      </c>
      <c r="D26" s="98"/>
      <c r="E26" s="109"/>
      <c r="F26" s="119">
        <f>SUM(F12:F24)</f>
        <v>1139.4050000000002</v>
      </c>
      <c r="G26" s="63"/>
    </row>
    <row r="27" spans="2:7" ht="15" thickBot="1">
      <c r="B27" s="64"/>
      <c r="C27" s="65"/>
      <c r="D27" s="65"/>
      <c r="E27" s="65"/>
      <c r="F27" s="65"/>
      <c r="G27" s="66"/>
    </row>
    <row r="28" spans="2:7"/>
    <row r="29" spans="2:7"/>
    <row r="30" spans="2:7"/>
    <row r="31" spans="2:7"/>
  </sheetData>
  <pageMargins left="0.7" right="0.7" top="0.75" bottom="0.75" header="0.3" footer="0.3"/>
  <pageSetup paperSize="9" scale="50" orientation="landscape" horizontalDpi="4294967293"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C20FEFC242C844E96CCF27BEBD14073" ma:contentTypeVersion="13" ma:contentTypeDescription="Een nieuw document maken." ma:contentTypeScope="" ma:versionID="e727edc51774afcea57065717e4d73c6">
  <xsd:schema xmlns:xsd="http://www.w3.org/2001/XMLSchema" xmlns:xs="http://www.w3.org/2001/XMLSchema" xmlns:p="http://schemas.microsoft.com/office/2006/metadata/properties" xmlns:ns2="64a9bb7f-4922-488e-a180-a0666a55bbca" xmlns:ns3="48d5435d-9344-4350-86dd-f67a31f71b9f" targetNamespace="http://schemas.microsoft.com/office/2006/metadata/properties" ma:root="true" ma:fieldsID="04263c89cfe8ef0008b7bfd0274edd76" ns2:_="" ns3:_="">
    <xsd:import namespace="64a9bb7f-4922-488e-a180-a0666a55bbca"/>
    <xsd:import namespace="48d5435d-9344-4350-86dd-f67a31f71b9f"/>
    <xsd:element name="properties">
      <xsd:complexType>
        <xsd:sequence>
          <xsd:element name="documentManagement">
            <xsd:complexType>
              <xsd:all>
                <xsd:element ref="ns2:SharedWithUsers" minOccurs="0"/>
                <xsd:element ref="ns2:SharedWithDetails" minOccurs="0"/>
                <xsd:element ref="ns2:SharingHintHash"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a9bb7f-4922-488e-a180-a0666a55bbca" elementFormDefault="qualified">
    <xsd:import namespace="http://schemas.microsoft.com/office/2006/documentManagement/types"/>
    <xsd:import namespace="http://schemas.microsoft.com/office/infopath/2007/PartnerControls"/>
    <xsd:element name="SharedWithUsers" ma:index="8"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element name="SharingHintHash" ma:index="10" nillable="true" ma:displayName="Hint-hash delen" ma:description=""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8d5435d-9344-4350-86dd-f67a31f71b9f"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BA11857-E7AA-4C3C-A91C-93508FE1247D}"/>
</file>

<file path=customXml/itemProps2.xml><?xml version="1.0" encoding="utf-8"?>
<ds:datastoreItem xmlns:ds="http://schemas.openxmlformats.org/officeDocument/2006/customXml" ds:itemID="{6C95F66F-96A5-431A-B94F-5251DA3FF06D}"/>
</file>

<file path=customXml/itemProps3.xml><?xml version="1.0" encoding="utf-8"?>
<ds:datastoreItem xmlns:ds="http://schemas.openxmlformats.org/officeDocument/2006/customXml" ds:itemID="{40F80D69-B294-483E-87FC-DC8520EF387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Decramer</dc:creator>
  <cp:keywords/>
  <dc:description/>
  <cp:lastModifiedBy/>
  <cp:revision/>
  <dcterms:created xsi:type="dcterms:W3CDTF">2021-02-05T10:19:41Z</dcterms:created>
  <dcterms:modified xsi:type="dcterms:W3CDTF">2021-06-16T08:34:53Z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0x0101008C20FEFC242C844E96CCF27BEBD14073</vt:lpwstr>
  </property>
</Properties>
</file>